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Forms - Standards\Check Forms\"/>
    </mc:Choice>
  </mc:AlternateContent>
  <bookViews>
    <workbookView xWindow="0" yWindow="0" windowWidth="23040" windowHeight="8970"/>
  </bookViews>
  <sheets>
    <sheet name="Entry page" sheetId="10" r:id="rId1"/>
    <sheet name="QC thin lift" sheetId="11" r:id="rId2"/>
    <sheet name="QA thin lift" sheetId="12" r:id="rId3"/>
    <sheet name="2" sheetId="3" r:id="rId4"/>
    <sheet name="Sheet2" sheetId="2" r:id="rId5"/>
  </sheets>
  <definedNames>
    <definedName name="_xlnm.Print_Area" localSheetId="0">'Entry page'!$A$1:$Z$47,'Entry page'!$A$49:$Z$92</definedName>
    <definedName name="Z_373B6099_BBFB_4C6F_8508_763C02BEB895_.wvu.PrintArea" localSheetId="0" hidden="1">'Entry page'!$B$2:$Z$92</definedName>
  </definedNames>
  <calcPr calcId="152511"/>
  <customWorkbookViews>
    <customWorkbookView name="input form" guid="{373B6099-BBFB-4C6F-8508-763C02BEB895}" includeHiddenRowCol="0" maximized="1" windowWidth="1280" windowHeight="799" activeSheetId="10"/>
  </customWorkbookViews>
</workbook>
</file>

<file path=xl/calcChain.xml><?xml version="1.0" encoding="utf-8"?>
<calcChain xmlns="http://schemas.openxmlformats.org/spreadsheetml/2006/main">
  <c r="W16" i="10" l="1"/>
  <c r="V16" i="10"/>
  <c r="CP38" i="10" l="1"/>
  <c r="CP39" i="10"/>
  <c r="CP40" i="10"/>
  <c r="CP41" i="10"/>
  <c r="CP42" i="10"/>
  <c r="CP43" i="10"/>
  <c r="CP44" i="10"/>
  <c r="CP45" i="10"/>
  <c r="CP46" i="10"/>
  <c r="CI38" i="10"/>
  <c r="CI39" i="10"/>
  <c r="CI40" i="10"/>
  <c r="CI41" i="10"/>
  <c r="CI42" i="10"/>
  <c r="CI43" i="10"/>
  <c r="CI44" i="10"/>
  <c r="CI45" i="10"/>
  <c r="CI46" i="10"/>
  <c r="CA40" i="10"/>
  <c r="CA41" i="10"/>
  <c r="CA42" i="10"/>
  <c r="CA43" i="10"/>
  <c r="CA44" i="10"/>
  <c r="CA45" i="10"/>
  <c r="CA46" i="10"/>
  <c r="BY46" i="10"/>
  <c r="BY38" i="10"/>
  <c r="BY39" i="10"/>
  <c r="BY40" i="10"/>
  <c r="BY41" i="10"/>
  <c r="BY42" i="10"/>
  <c r="BY43" i="10"/>
  <c r="BY44" i="10"/>
  <c r="BY45" i="10"/>
  <c r="U37" i="10"/>
  <c r="U38" i="10"/>
  <c r="U39" i="10"/>
  <c r="U40" i="10"/>
  <c r="U41" i="10"/>
  <c r="U42" i="10"/>
  <c r="U43" i="10"/>
  <c r="U44" i="10"/>
  <c r="U45" i="10"/>
  <c r="U46" i="10"/>
  <c r="T37" i="10"/>
  <c r="T38" i="10"/>
  <c r="T39" i="10"/>
  <c r="T40" i="10"/>
  <c r="T41" i="10"/>
  <c r="T42" i="10"/>
  <c r="T43" i="10"/>
  <c r="T44" i="10"/>
  <c r="T45" i="10"/>
  <c r="T46" i="10"/>
  <c r="CM38" i="10"/>
  <c r="CM39" i="10"/>
  <c r="CM40" i="10"/>
  <c r="CM41" i="10"/>
  <c r="CM42" i="10"/>
  <c r="CM43" i="10"/>
  <c r="CM44" i="10"/>
  <c r="CM45" i="10"/>
  <c r="CM46" i="10"/>
  <c r="CH45" i="10"/>
  <c r="CF38" i="10"/>
  <c r="CF39" i="10"/>
  <c r="CF40" i="10"/>
  <c r="CF41" i="10"/>
  <c r="CF42" i="10"/>
  <c r="CF43" i="10"/>
  <c r="CF44" i="10"/>
  <c r="CF45" i="10"/>
  <c r="CF46" i="10"/>
  <c r="CE38" i="10"/>
  <c r="CH38" i="10" s="1"/>
  <c r="CE39" i="10"/>
  <c r="CE40" i="10"/>
  <c r="CH40" i="10" s="1"/>
  <c r="CE41" i="10"/>
  <c r="CH41" i="10" s="1"/>
  <c r="CE42" i="10"/>
  <c r="CH42" i="10" s="1"/>
  <c r="CE43" i="10"/>
  <c r="CH43" i="10" s="1"/>
  <c r="CE44" i="10"/>
  <c r="CH44" i="10" s="1"/>
  <c r="CE45" i="10"/>
  <c r="CE46" i="10"/>
  <c r="CH46" i="10" s="1"/>
  <c r="BZ40" i="10"/>
  <c r="BZ41" i="10"/>
  <c r="BZ42" i="10"/>
  <c r="BZ43" i="10"/>
  <c r="BZ44" i="10"/>
  <c r="BZ45" i="10"/>
  <c r="BZ46" i="10"/>
  <c r="BX38" i="10"/>
  <c r="BX39" i="10"/>
  <c r="BX40" i="10"/>
  <c r="BX41" i="10"/>
  <c r="BX42" i="10"/>
  <c r="BX43" i="10"/>
  <c r="BX44" i="10"/>
  <c r="BX45" i="10"/>
  <c r="BX46" i="10"/>
  <c r="S52" i="10"/>
  <c r="S53" i="10"/>
  <c r="S54" i="10"/>
  <c r="S55" i="10"/>
  <c r="S56" i="10"/>
  <c r="S57" i="10"/>
  <c r="S58" i="10"/>
  <c r="S59" i="10"/>
  <c r="S60" i="10"/>
  <c r="S51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17" i="10"/>
  <c r="CH39" i="10" l="1"/>
  <c r="Q16" i="10"/>
  <c r="R16" i="10"/>
  <c r="V41" i="10"/>
  <c r="Z41" i="10" s="1"/>
  <c r="V42" i="10"/>
  <c r="Z42" i="10" s="1"/>
  <c r="V43" i="10"/>
  <c r="Z43" i="10" s="1"/>
  <c r="V44" i="10"/>
  <c r="Z44" i="10" s="1"/>
  <c r="V45" i="10"/>
  <c r="Z45" i="10" s="1"/>
  <c r="V46" i="10"/>
  <c r="Z46" i="10" s="1"/>
  <c r="R50" i="10" l="1"/>
  <c r="Q50" i="10"/>
  <c r="H16" i="10"/>
  <c r="L16" i="10"/>
  <c r="M16" i="10"/>
  <c r="N16" i="10"/>
  <c r="O16" i="10"/>
  <c r="P16" i="10"/>
  <c r="P64" i="10"/>
  <c r="Q64" i="10"/>
  <c r="P50" i="10"/>
  <c r="Y52" i="10" l="1"/>
  <c r="Y53" i="10"/>
  <c r="Y54" i="10"/>
  <c r="Y55" i="10"/>
  <c r="Y56" i="10"/>
  <c r="Y57" i="10"/>
  <c r="Y58" i="10"/>
  <c r="Y59" i="10"/>
  <c r="Y60" i="10"/>
  <c r="Y51" i="10"/>
  <c r="N50" i="10" l="1"/>
  <c r="X45" i="10"/>
  <c r="X46" i="10"/>
  <c r="AK9" i="10"/>
  <c r="DF50" i="10" l="1"/>
  <c r="DJ50" i="10" s="1"/>
  <c r="DN50" i="10" s="1"/>
  <c r="DR50" i="10" s="1"/>
  <c r="DV50" i="10" s="1"/>
  <c r="BX50" i="10"/>
  <c r="CE50" i="10" s="1"/>
  <c r="CL50" i="10" s="1"/>
  <c r="CS50" i="10" s="1"/>
  <c r="CW50" i="10" s="1"/>
  <c r="AW50" i="10"/>
  <c r="CU52" i="10"/>
  <c r="CU53" i="10"/>
  <c r="CV53" i="10" s="1"/>
  <c r="CU54" i="10"/>
  <c r="CV54" i="10" s="1"/>
  <c r="CU55" i="10"/>
  <c r="CU56" i="10"/>
  <c r="CV56" i="10" s="1"/>
  <c r="CU57" i="10"/>
  <c r="CU58" i="10"/>
  <c r="CV58" i="10" s="1"/>
  <c r="CU59" i="10"/>
  <c r="CU60" i="10"/>
  <c r="CV60" i="10" s="1"/>
  <c r="BT52" i="10"/>
  <c r="BV52" i="10"/>
  <c r="BW52" i="10" s="1"/>
  <c r="CC52" i="10"/>
  <c r="CD52" i="10" s="1"/>
  <c r="CJ52" i="10"/>
  <c r="CK52" i="10" s="1"/>
  <c r="CQ52" i="10"/>
  <c r="CR52" i="10" s="1"/>
  <c r="BT53" i="10"/>
  <c r="BV53" i="10"/>
  <c r="BW53" i="10" s="1"/>
  <c r="CC53" i="10"/>
  <c r="CD53" i="10" s="1"/>
  <c r="CJ53" i="10"/>
  <c r="CK53" i="10" s="1"/>
  <c r="CQ53" i="10"/>
  <c r="CR53" i="10" s="1"/>
  <c r="BT54" i="10"/>
  <c r="BV54" i="10"/>
  <c r="BW54" i="10" s="1"/>
  <c r="CC54" i="10"/>
  <c r="CD54" i="10" s="1"/>
  <c r="CJ54" i="10"/>
  <c r="CK54" i="10" s="1"/>
  <c r="CQ54" i="10"/>
  <c r="CT54" i="10" s="1"/>
  <c r="BT55" i="10"/>
  <c r="BV55" i="10"/>
  <c r="BW55" i="10" s="1"/>
  <c r="CC55" i="10"/>
  <c r="CD55" i="10" s="1"/>
  <c r="CJ55" i="10"/>
  <c r="CK55" i="10" s="1"/>
  <c r="CQ55" i="10"/>
  <c r="BT56" i="10"/>
  <c r="BV56" i="10"/>
  <c r="BW56" i="10" s="1"/>
  <c r="CC56" i="10"/>
  <c r="CD56" i="10" s="1"/>
  <c r="CJ56" i="10"/>
  <c r="CK56" i="10" s="1"/>
  <c r="CQ56" i="10"/>
  <c r="CR56" i="10" s="1"/>
  <c r="BT57" i="10"/>
  <c r="BV57" i="10"/>
  <c r="BW57" i="10" s="1"/>
  <c r="CC57" i="10"/>
  <c r="CD57" i="10" s="1"/>
  <c r="CJ57" i="10"/>
  <c r="CK57" i="10" s="1"/>
  <c r="CQ57" i="10"/>
  <c r="BT58" i="10"/>
  <c r="BV58" i="10"/>
  <c r="BW58" i="10" s="1"/>
  <c r="CC58" i="10"/>
  <c r="CD58" i="10" s="1"/>
  <c r="CJ58" i="10"/>
  <c r="CK58" i="10" s="1"/>
  <c r="CQ58" i="10"/>
  <c r="CT58" i="10" s="1"/>
  <c r="BT59" i="10"/>
  <c r="BV59" i="10"/>
  <c r="BW59" i="10" s="1"/>
  <c r="CC59" i="10"/>
  <c r="CD59" i="10" s="1"/>
  <c r="CJ59" i="10"/>
  <c r="CK59" i="10" s="1"/>
  <c r="CQ59" i="10"/>
  <c r="BT60" i="10"/>
  <c r="BV60" i="10"/>
  <c r="BW60" i="10" s="1"/>
  <c r="CC60" i="10"/>
  <c r="CD60" i="10" s="1"/>
  <c r="CJ60" i="10"/>
  <c r="CK60" i="10" s="1"/>
  <c r="CQ60" i="10"/>
  <c r="CR60" i="10" s="1"/>
  <c r="DD52" i="10"/>
  <c r="DH52" i="10"/>
  <c r="DI52" i="10" s="1"/>
  <c r="DL52" i="10"/>
  <c r="DM52" i="10" s="1"/>
  <c r="DP52" i="10"/>
  <c r="DQ52" i="10" s="1"/>
  <c r="DT52" i="10"/>
  <c r="DU52" i="10" s="1"/>
  <c r="DD53" i="10"/>
  <c r="DE53" i="10" s="1"/>
  <c r="DH53" i="10"/>
  <c r="DL53" i="10"/>
  <c r="DP53" i="10"/>
  <c r="DT53" i="10"/>
  <c r="DD54" i="10"/>
  <c r="DE54" i="10" s="1"/>
  <c r="DH54" i="10"/>
  <c r="DI54" i="10" s="1"/>
  <c r="DL54" i="10"/>
  <c r="DM54" i="10" s="1"/>
  <c r="DP54" i="10"/>
  <c r="DQ54" i="10" s="1"/>
  <c r="DT54" i="10"/>
  <c r="DU54" i="10" s="1"/>
  <c r="DD55" i="10"/>
  <c r="DE55" i="10" s="1"/>
  <c r="DH55" i="10"/>
  <c r="DL55" i="10"/>
  <c r="DP55" i="10"/>
  <c r="DT55" i="10"/>
  <c r="DD56" i="10"/>
  <c r="DH56" i="10"/>
  <c r="DI56" i="10" s="1"/>
  <c r="DL56" i="10"/>
  <c r="DM56" i="10" s="1"/>
  <c r="DP56" i="10"/>
  <c r="DQ56" i="10" s="1"/>
  <c r="DT56" i="10"/>
  <c r="DU56" i="10" s="1"/>
  <c r="DD57" i="10"/>
  <c r="DE57" i="10" s="1"/>
  <c r="DH57" i="10"/>
  <c r="DL57" i="10"/>
  <c r="DP57" i="10"/>
  <c r="DQ57" i="10" s="1"/>
  <c r="DT57" i="10"/>
  <c r="DU57" i="10" s="1"/>
  <c r="DD58" i="10"/>
  <c r="DE58" i="10" s="1"/>
  <c r="DH58" i="10"/>
  <c r="DL58" i="10"/>
  <c r="DP58" i="10"/>
  <c r="DT58" i="10"/>
  <c r="DD59" i="10"/>
  <c r="DE59" i="10" s="1"/>
  <c r="DH59" i="10"/>
  <c r="DI59" i="10" s="1"/>
  <c r="DL59" i="10"/>
  <c r="DM59" i="10" s="1"/>
  <c r="DP59" i="10"/>
  <c r="DQ59" i="10" s="1"/>
  <c r="DT59" i="10"/>
  <c r="DU59" i="10" s="1"/>
  <c r="DD60" i="10"/>
  <c r="DE60" i="10" s="1"/>
  <c r="DH60" i="10"/>
  <c r="DL60" i="10"/>
  <c r="DP60" i="10"/>
  <c r="DT60" i="10"/>
  <c r="DB52" i="10"/>
  <c r="DB53" i="10"/>
  <c r="DB54" i="10"/>
  <c r="DB55" i="10"/>
  <c r="DJ55" i="10" s="1"/>
  <c r="DB56" i="10"/>
  <c r="DB57" i="10"/>
  <c r="DR57" i="10" s="1"/>
  <c r="DB58" i="10"/>
  <c r="DB59" i="10"/>
  <c r="DJ59" i="10" s="1"/>
  <c r="DB60" i="10"/>
  <c r="BT51" i="10"/>
  <c r="AN27" i="10"/>
  <c r="CW56" i="10" l="1"/>
  <c r="BD50" i="10"/>
  <c r="BK50" i="10" s="1"/>
  <c r="BO50" i="10" s="1"/>
  <c r="DS59" i="10"/>
  <c r="DW54" i="10"/>
  <c r="DS52" i="10"/>
  <c r="DS57" i="10"/>
  <c r="DN57" i="10"/>
  <c r="DR53" i="10"/>
  <c r="DJ53" i="10"/>
  <c r="DR60" i="10"/>
  <c r="DJ60" i="10"/>
  <c r="DF58" i="10"/>
  <c r="CW52" i="10"/>
  <c r="DV60" i="10"/>
  <c r="DN60" i="10"/>
  <c r="DG60" i="10"/>
  <c r="DO59" i="10"/>
  <c r="DK59" i="10"/>
  <c r="DF59" i="10"/>
  <c r="DJ57" i="10"/>
  <c r="DO56" i="10"/>
  <c r="DF55" i="10"/>
  <c r="DS54" i="10"/>
  <c r="DO54" i="10"/>
  <c r="DV53" i="10"/>
  <c r="DN53" i="10"/>
  <c r="DG53" i="10"/>
  <c r="DO52" i="10"/>
  <c r="DK52" i="10"/>
  <c r="BX60" i="10"/>
  <c r="BX58" i="10"/>
  <c r="BX56" i="10"/>
  <c r="BX54" i="10"/>
  <c r="BX52" i="10"/>
  <c r="DJ58" i="10"/>
  <c r="DG58" i="10"/>
  <c r="DG57" i="10"/>
  <c r="DW56" i="10"/>
  <c r="DK56" i="10"/>
  <c r="CR58" i="10"/>
  <c r="CT56" i="10"/>
  <c r="DW59" i="10"/>
  <c r="DW57" i="10"/>
  <c r="DS56" i="10"/>
  <c r="DG55" i="10"/>
  <c r="DK54" i="10"/>
  <c r="DW52" i="10"/>
  <c r="CL60" i="10"/>
  <c r="CE60" i="10"/>
  <c r="CL58" i="10"/>
  <c r="CE58" i="10"/>
  <c r="CL56" i="10"/>
  <c r="CE56" i="10"/>
  <c r="CL54" i="10"/>
  <c r="CE54" i="10"/>
  <c r="CL52" i="10"/>
  <c r="CE52" i="10"/>
  <c r="CW60" i="10"/>
  <c r="CT60" i="10"/>
  <c r="CR54" i="10"/>
  <c r="DG54" i="10"/>
  <c r="CS60" i="10"/>
  <c r="CS58" i="10"/>
  <c r="CS56" i="10"/>
  <c r="CS54" i="10"/>
  <c r="CW58" i="10"/>
  <c r="CW54" i="10"/>
  <c r="CX53" i="10"/>
  <c r="CS52" i="10"/>
  <c r="DU58" i="10"/>
  <c r="DW58" i="10"/>
  <c r="DQ58" i="10"/>
  <c r="DS58" i="10"/>
  <c r="DM58" i="10"/>
  <c r="DO58" i="10"/>
  <c r="DI58" i="10"/>
  <c r="DK58" i="10"/>
  <c r="DU55" i="10"/>
  <c r="DW55" i="10"/>
  <c r="DM55" i="10"/>
  <c r="DO55" i="10"/>
  <c r="DE52" i="10"/>
  <c r="DF52" i="10" s="1"/>
  <c r="DG52" i="10"/>
  <c r="CR59" i="10"/>
  <c r="CT59" i="10"/>
  <c r="CE59" i="10"/>
  <c r="CL59" i="10"/>
  <c r="CR57" i="10"/>
  <c r="CT57" i="10"/>
  <c r="CE57" i="10"/>
  <c r="CL57" i="10"/>
  <c r="CS57" i="10"/>
  <c r="CW57" i="10"/>
  <c r="CR55" i="10"/>
  <c r="CT55" i="10"/>
  <c r="CE55" i="10"/>
  <c r="CL55" i="10"/>
  <c r="CS53" i="10"/>
  <c r="CE53" i="10"/>
  <c r="CL53" i="10"/>
  <c r="CW59" i="10"/>
  <c r="CS59" i="10"/>
  <c r="CW55" i="10"/>
  <c r="CS55" i="10"/>
  <c r="CW53" i="10"/>
  <c r="CT53" i="10"/>
  <c r="DJ56" i="10"/>
  <c r="DN56" i="10"/>
  <c r="DR56" i="10"/>
  <c r="DV56" i="10"/>
  <c r="DJ54" i="10"/>
  <c r="DN54" i="10"/>
  <c r="DR54" i="10"/>
  <c r="DV54" i="10"/>
  <c r="DJ52" i="10"/>
  <c r="DN52" i="10"/>
  <c r="DR52" i="10"/>
  <c r="DV52" i="10"/>
  <c r="DU60" i="10"/>
  <c r="DW60" i="10"/>
  <c r="DQ60" i="10"/>
  <c r="DS60" i="10"/>
  <c r="DM60" i="10"/>
  <c r="DO60" i="10"/>
  <c r="DI60" i="10"/>
  <c r="DK60" i="10"/>
  <c r="DF60" i="10"/>
  <c r="DG59" i="10"/>
  <c r="DV58" i="10"/>
  <c r="DR58" i="10"/>
  <c r="DN58" i="10"/>
  <c r="DE56" i="10"/>
  <c r="DF56" i="10" s="1"/>
  <c r="DG56" i="10"/>
  <c r="DQ55" i="10"/>
  <c r="DS55" i="10"/>
  <c r="DI55" i="10"/>
  <c r="DK55" i="10"/>
  <c r="CV57" i="10"/>
  <c r="CX57" i="10"/>
  <c r="DV59" i="10"/>
  <c r="DR59" i="10"/>
  <c r="DN59" i="10"/>
  <c r="DV57" i="10"/>
  <c r="DM57" i="10"/>
  <c r="DO57" i="10"/>
  <c r="DI57" i="10"/>
  <c r="DK57" i="10"/>
  <c r="DF57" i="10"/>
  <c r="DV55" i="10"/>
  <c r="DR55" i="10"/>
  <c r="DN55" i="10"/>
  <c r="DF54" i="10"/>
  <c r="DU53" i="10"/>
  <c r="DW53" i="10"/>
  <c r="DQ53" i="10"/>
  <c r="DS53" i="10"/>
  <c r="DM53" i="10"/>
  <c r="DO53" i="10"/>
  <c r="DI53" i="10"/>
  <c r="DK53" i="10"/>
  <c r="DF53" i="10"/>
  <c r="CV59" i="10"/>
  <c r="CX59" i="10"/>
  <c r="CV55" i="10"/>
  <c r="CX55" i="10"/>
  <c r="CV52" i="10"/>
  <c r="CX52" i="10"/>
  <c r="BX59" i="10"/>
  <c r="BX57" i="10"/>
  <c r="BX55" i="10"/>
  <c r="BX53" i="10"/>
  <c r="CT52" i="10"/>
  <c r="CX60" i="10"/>
  <c r="CX58" i="10"/>
  <c r="CX56" i="10"/>
  <c r="CX54" i="10"/>
  <c r="CN60" i="10"/>
  <c r="CG60" i="10"/>
  <c r="CB60" i="10"/>
  <c r="CN59" i="10"/>
  <c r="CG59" i="10"/>
  <c r="CB59" i="10"/>
  <c r="CN58" i="10"/>
  <c r="CG58" i="10"/>
  <c r="CB58" i="10"/>
  <c r="CN57" i="10"/>
  <c r="CG57" i="10"/>
  <c r="CB57" i="10"/>
  <c r="CN56" i="10"/>
  <c r="CG56" i="10"/>
  <c r="CB56" i="10"/>
  <c r="CN55" i="10"/>
  <c r="CG55" i="10"/>
  <c r="CB55" i="10"/>
  <c r="CN54" i="10"/>
  <c r="CG54" i="10"/>
  <c r="CB54" i="10"/>
  <c r="CN53" i="10"/>
  <c r="CG53" i="10"/>
  <c r="CB53" i="10"/>
  <c r="CN52" i="10"/>
  <c r="CG52" i="10"/>
  <c r="CB52" i="10"/>
  <c r="O88" i="10" l="1"/>
  <c r="O87" i="10"/>
  <c r="O86" i="10"/>
  <c r="L88" i="10"/>
  <c r="L87" i="10"/>
  <c r="L86" i="10"/>
  <c r="Y4" i="10"/>
  <c r="W4" i="10"/>
  <c r="T80" i="10"/>
  <c r="T81" i="10"/>
  <c r="T82" i="10"/>
  <c r="B18" i="10" l="1"/>
  <c r="V51" i="10" l="1"/>
  <c r="X51" i="10" s="1"/>
  <c r="Z51" i="10" s="1"/>
  <c r="B83" i="10" l="1"/>
  <c r="B77" i="10"/>
  <c r="B71" i="10"/>
  <c r="L80" i="10" l="1"/>
  <c r="O80" i="10"/>
  <c r="X80" i="10"/>
  <c r="L81" i="10"/>
  <c r="O81" i="10"/>
  <c r="X81" i="10"/>
  <c r="L82" i="10"/>
  <c r="O82" i="10"/>
  <c r="AH52" i="10" l="1"/>
  <c r="AH53" i="10"/>
  <c r="AH54" i="10"/>
  <c r="AH55" i="10"/>
  <c r="AH56" i="10"/>
  <c r="AH57" i="10"/>
  <c r="AH58" i="10"/>
  <c r="AH59" i="10"/>
  <c r="AH60" i="10"/>
  <c r="AH51" i="10"/>
  <c r="AH37" i="10"/>
  <c r="AH38" i="10"/>
  <c r="AH39" i="10"/>
  <c r="AH40" i="10"/>
  <c r="AH41" i="10"/>
  <c r="AH42" i="10"/>
  <c r="AH43" i="10"/>
  <c r="AH44" i="10"/>
  <c r="AH45" i="10"/>
  <c r="AH46" i="10"/>
  <c r="AH18" i="10"/>
  <c r="AH19" i="10"/>
  <c r="AH20" i="10"/>
  <c r="AH21" i="10"/>
  <c r="AH22" i="10"/>
  <c r="AH23" i="10"/>
  <c r="AH24" i="10"/>
  <c r="AH25" i="10"/>
  <c r="AH26" i="10"/>
  <c r="AH27" i="10"/>
  <c r="AH28" i="10"/>
  <c r="AH29" i="10"/>
  <c r="AH30" i="10"/>
  <c r="AH31" i="10"/>
  <c r="AH32" i="10"/>
  <c r="AH33" i="10"/>
  <c r="AH34" i="10"/>
  <c r="AH35" i="10"/>
  <c r="AH36" i="10"/>
  <c r="AH17" i="10"/>
  <c r="AG52" i="10"/>
  <c r="AG53" i="10"/>
  <c r="AG54" i="10"/>
  <c r="AG55" i="10"/>
  <c r="AG56" i="10"/>
  <c r="AG57" i="10"/>
  <c r="AG58" i="10"/>
  <c r="AG59" i="10"/>
  <c r="AG60" i="10"/>
  <c r="AG51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17" i="10"/>
  <c r="AF52" i="10"/>
  <c r="AF53" i="10"/>
  <c r="AF54" i="10"/>
  <c r="AF55" i="10"/>
  <c r="AF56" i="10"/>
  <c r="AF57" i="10"/>
  <c r="AF58" i="10"/>
  <c r="AF59" i="10"/>
  <c r="AF60" i="10"/>
  <c r="AF51" i="10"/>
  <c r="AF42" i="10"/>
  <c r="AF43" i="10"/>
  <c r="AF44" i="10"/>
  <c r="AF45" i="10"/>
  <c r="AF46" i="10"/>
  <c r="AF31" i="10"/>
  <c r="AF32" i="10"/>
  <c r="AF33" i="10"/>
  <c r="AF34" i="10"/>
  <c r="AF35" i="10"/>
  <c r="AF36" i="10"/>
  <c r="AF37" i="10"/>
  <c r="AF38" i="10"/>
  <c r="AF39" i="10"/>
  <c r="AF40" i="10"/>
  <c r="AF41" i="10"/>
  <c r="AF18" i="10"/>
  <c r="AF19" i="10"/>
  <c r="AF20" i="10"/>
  <c r="AF21" i="10"/>
  <c r="AF22" i="10"/>
  <c r="AF23" i="10"/>
  <c r="AF24" i="10"/>
  <c r="AF17" i="10"/>
  <c r="AW16" i="10"/>
  <c r="BD16" i="10" s="1"/>
  <c r="AF30" i="10"/>
  <c r="H50" i="10"/>
  <c r="BK16" i="10" l="1"/>
  <c r="BO16" i="10" s="1"/>
  <c r="BX16" i="10"/>
  <c r="AG74" i="10"/>
  <c r="AH74" i="10"/>
  <c r="AH77" i="10"/>
  <c r="AG77" i="10"/>
  <c r="AG73" i="10"/>
  <c r="AH73" i="10"/>
  <c r="AF29" i="10"/>
  <c r="AF25" i="10"/>
  <c r="AF28" i="10"/>
  <c r="AF27" i="10"/>
  <c r="AH76" i="10"/>
  <c r="AF26" i="10"/>
  <c r="AG76" i="10"/>
  <c r="AH47" i="10"/>
  <c r="CC42" i="10"/>
  <c r="CD42" i="10" s="1"/>
  <c r="CC43" i="10"/>
  <c r="CG43" i="10" s="1"/>
  <c r="CC44" i="10"/>
  <c r="CG44" i="10" s="1"/>
  <c r="CC45" i="10"/>
  <c r="CC46" i="10"/>
  <c r="CG46" i="10" s="1"/>
  <c r="CC25" i="10"/>
  <c r="CG25" i="10" s="1"/>
  <c r="CC26" i="10"/>
  <c r="CG26" i="10" s="1"/>
  <c r="CC27" i="10"/>
  <c r="CC28" i="10"/>
  <c r="CG28" i="10" s="1"/>
  <c r="CC29" i="10"/>
  <c r="CG29" i="10" s="1"/>
  <c r="CC30" i="10"/>
  <c r="CG30" i="10" s="1"/>
  <c r="CC31" i="10"/>
  <c r="CC32" i="10"/>
  <c r="CD32" i="10" s="1"/>
  <c r="CC33" i="10"/>
  <c r="CG33" i="10" s="1"/>
  <c r="CC34" i="10"/>
  <c r="CG34" i="10" s="1"/>
  <c r="CC35" i="10"/>
  <c r="CG35" i="10" s="1"/>
  <c r="CC36" i="10"/>
  <c r="CG36" i="10" s="1"/>
  <c r="CC37" i="10"/>
  <c r="CG37" i="10" s="1"/>
  <c r="CC38" i="10"/>
  <c r="CG38" i="10" s="1"/>
  <c r="CC39" i="10"/>
  <c r="CG39" i="10" s="1"/>
  <c r="CC40" i="10"/>
  <c r="CG40" i="10" s="1"/>
  <c r="CC41" i="10"/>
  <c r="CG41" i="10" s="1"/>
  <c r="CC18" i="10"/>
  <c r="CG18" i="10" s="1"/>
  <c r="CC19" i="10"/>
  <c r="CC20" i="10"/>
  <c r="CG20" i="10" s="1"/>
  <c r="CC21" i="10"/>
  <c r="CG21" i="10" s="1"/>
  <c r="CC22" i="10"/>
  <c r="CG22" i="10" s="1"/>
  <c r="CC23" i="10"/>
  <c r="CG23" i="10" s="1"/>
  <c r="CC24" i="10"/>
  <c r="CG24" i="10" s="1"/>
  <c r="CC17" i="10"/>
  <c r="CG17" i="10" s="1"/>
  <c r="BT25" i="10"/>
  <c r="BT26" i="10"/>
  <c r="DB51" i="10"/>
  <c r="DB18" i="10"/>
  <c r="DB19" i="10"/>
  <c r="DB20" i="10"/>
  <c r="DB21" i="10"/>
  <c r="DB22" i="10"/>
  <c r="DB23" i="10"/>
  <c r="DB24" i="10"/>
  <c r="DB25" i="10"/>
  <c r="DB26" i="10"/>
  <c r="DB27" i="10"/>
  <c r="DB28" i="10"/>
  <c r="DB29" i="10"/>
  <c r="DB30" i="10"/>
  <c r="DB31" i="10"/>
  <c r="DB32" i="10"/>
  <c r="DB33" i="10"/>
  <c r="DB34" i="10"/>
  <c r="DB35" i="10"/>
  <c r="DB36" i="10"/>
  <c r="DB37" i="10"/>
  <c r="DB38" i="10"/>
  <c r="DB39" i="10"/>
  <c r="DB40" i="10"/>
  <c r="DB41" i="10"/>
  <c r="DB42" i="10"/>
  <c r="DB43" i="10"/>
  <c r="DB44" i="10"/>
  <c r="DB45" i="10"/>
  <c r="DB46" i="10"/>
  <c r="DB17" i="10"/>
  <c r="BT32" i="10"/>
  <c r="BT33" i="10"/>
  <c r="BT34" i="10"/>
  <c r="BT35" i="10"/>
  <c r="BT36" i="10"/>
  <c r="BT37" i="10"/>
  <c r="BT38" i="10"/>
  <c r="BT39" i="10"/>
  <c r="BT40" i="10"/>
  <c r="BT41" i="10"/>
  <c r="BT42" i="10"/>
  <c r="BT43" i="10"/>
  <c r="BT44" i="10"/>
  <c r="BT45" i="10"/>
  <c r="BT46" i="10"/>
  <c r="BT18" i="10"/>
  <c r="BT19" i="10"/>
  <c r="BT20" i="10"/>
  <c r="BT21" i="10"/>
  <c r="BT22" i="10"/>
  <c r="BT23" i="10"/>
  <c r="BT24" i="10"/>
  <c r="BT27" i="10"/>
  <c r="BT28" i="10"/>
  <c r="BT29" i="10"/>
  <c r="BT30" i="10"/>
  <c r="BT31" i="10"/>
  <c r="BT17" i="10"/>
  <c r="CJ51" i="10"/>
  <c r="CL51" i="10" s="1"/>
  <c r="CC51" i="10"/>
  <c r="DP51" i="10"/>
  <c r="DQ51" i="10" s="1"/>
  <c r="DL51" i="10"/>
  <c r="DO51" i="10" s="1"/>
  <c r="DP18" i="10"/>
  <c r="DP19" i="10"/>
  <c r="DS19" i="10" s="1"/>
  <c r="DP20" i="10"/>
  <c r="DQ20" i="10" s="1"/>
  <c r="DP21" i="10"/>
  <c r="DS21" i="10" s="1"/>
  <c r="DP22" i="10"/>
  <c r="DS22" i="10" s="1"/>
  <c r="DP23" i="10"/>
  <c r="DQ23" i="10" s="1"/>
  <c r="DP24" i="10"/>
  <c r="DS24" i="10" s="1"/>
  <c r="DP25" i="10"/>
  <c r="DQ25" i="10" s="1"/>
  <c r="DP26" i="10"/>
  <c r="DS26" i="10" s="1"/>
  <c r="DP27" i="10"/>
  <c r="DS27" i="10" s="1"/>
  <c r="DP28" i="10"/>
  <c r="DQ28" i="10" s="1"/>
  <c r="DP29" i="10"/>
  <c r="DS29" i="10" s="1"/>
  <c r="DP30" i="10"/>
  <c r="DS30" i="10" s="1"/>
  <c r="DP31" i="10"/>
  <c r="DS31" i="10" s="1"/>
  <c r="DP32" i="10"/>
  <c r="DS32" i="10" s="1"/>
  <c r="DP33" i="10"/>
  <c r="DP34" i="10"/>
  <c r="DS34" i="10" s="1"/>
  <c r="DP35" i="10"/>
  <c r="DS35" i="10" s="1"/>
  <c r="DP36" i="10"/>
  <c r="DS36" i="10" s="1"/>
  <c r="DP37" i="10"/>
  <c r="DS37" i="10" s="1"/>
  <c r="DP38" i="10"/>
  <c r="DS38" i="10" s="1"/>
  <c r="DP39" i="10"/>
  <c r="DS39" i="10" s="1"/>
  <c r="DP40" i="10"/>
  <c r="DS40" i="10" s="1"/>
  <c r="DP41" i="10"/>
  <c r="DP42" i="10"/>
  <c r="DS42" i="10" s="1"/>
  <c r="DP43" i="10"/>
  <c r="DS43" i="10" s="1"/>
  <c r="DP44" i="10"/>
  <c r="DS44" i="10" s="1"/>
  <c r="DP45" i="10"/>
  <c r="DS45" i="10" s="1"/>
  <c r="DP46" i="10"/>
  <c r="DS46" i="10" s="1"/>
  <c r="DP17" i="10"/>
  <c r="DS17" i="10" s="1"/>
  <c r="DL18" i="10"/>
  <c r="DM18" i="10" s="1"/>
  <c r="DL19" i="10"/>
  <c r="DO19" i="10" s="1"/>
  <c r="DL20" i="10"/>
  <c r="DL21" i="10"/>
  <c r="DM21" i="10" s="1"/>
  <c r="DL22" i="10"/>
  <c r="DO22" i="10" s="1"/>
  <c r="DL23" i="10"/>
  <c r="DM23" i="10" s="1"/>
  <c r="DL24" i="10"/>
  <c r="DL25" i="10"/>
  <c r="DM25" i="10" s="1"/>
  <c r="DL26" i="10"/>
  <c r="DL27" i="10"/>
  <c r="DM27" i="10" s="1"/>
  <c r="DL28" i="10"/>
  <c r="DL29" i="10"/>
  <c r="DM29" i="10" s="1"/>
  <c r="DL30" i="10"/>
  <c r="DO30" i="10" s="1"/>
  <c r="DL31" i="10"/>
  <c r="DO31" i="10" s="1"/>
  <c r="DL32" i="10"/>
  <c r="DL33" i="10"/>
  <c r="DO33" i="10" s="1"/>
  <c r="DL34" i="10"/>
  <c r="DL35" i="10"/>
  <c r="DO35" i="10" s="1"/>
  <c r="DL36" i="10"/>
  <c r="DO36" i="10" s="1"/>
  <c r="DL37" i="10"/>
  <c r="DO37" i="10" s="1"/>
  <c r="DL38" i="10"/>
  <c r="DL39" i="10"/>
  <c r="DL40" i="10"/>
  <c r="DO40" i="10" s="1"/>
  <c r="DL41" i="10"/>
  <c r="DL42" i="10"/>
  <c r="DO42" i="10" s="1"/>
  <c r="DL43" i="10"/>
  <c r="DO43" i="10" s="1"/>
  <c r="DL44" i="10"/>
  <c r="DO44" i="10" s="1"/>
  <c r="DL45" i="10"/>
  <c r="DO45" i="10" s="1"/>
  <c r="DL46" i="10"/>
  <c r="DL17" i="10"/>
  <c r="DO17" i="10" s="1"/>
  <c r="CQ51" i="10"/>
  <c r="BI52" i="10"/>
  <c r="BL52" i="10" s="1"/>
  <c r="BI53" i="10"/>
  <c r="BL53" i="10" s="1"/>
  <c r="BI54" i="10"/>
  <c r="BL54" i="10" s="1"/>
  <c r="BI55" i="10"/>
  <c r="BL55" i="10" s="1"/>
  <c r="BI56" i="10"/>
  <c r="BL56" i="10" s="1"/>
  <c r="BI57" i="10"/>
  <c r="BL57" i="10" s="1"/>
  <c r="BI58" i="10"/>
  <c r="BL58" i="10" s="1"/>
  <c r="BI59" i="10"/>
  <c r="BL59" i="10" s="1"/>
  <c r="BI60" i="10"/>
  <c r="BL60" i="10" s="1"/>
  <c r="CQ18" i="10"/>
  <c r="CT18" i="10" s="1"/>
  <c r="CQ19" i="10"/>
  <c r="CT19" i="10" s="1"/>
  <c r="CQ20" i="10"/>
  <c r="CT20" i="10" s="1"/>
  <c r="CQ21" i="10"/>
  <c r="CT21" i="10" s="1"/>
  <c r="CQ22" i="10"/>
  <c r="CR22" i="10" s="1"/>
  <c r="CQ23" i="10"/>
  <c r="CQ24" i="10"/>
  <c r="CR24" i="10" s="1"/>
  <c r="CQ25" i="10"/>
  <c r="CT25" i="10" s="1"/>
  <c r="CQ26" i="10"/>
  <c r="CR26" i="10" s="1"/>
  <c r="CQ27" i="10"/>
  <c r="CQ28" i="10"/>
  <c r="CT28" i="10" s="1"/>
  <c r="CQ29" i="10"/>
  <c r="CT29" i="10" s="1"/>
  <c r="CQ30" i="10"/>
  <c r="CT30" i="10" s="1"/>
  <c r="CQ31" i="10"/>
  <c r="CQ32" i="10"/>
  <c r="CT32" i="10" s="1"/>
  <c r="CQ33" i="10"/>
  <c r="CR33" i="10" s="1"/>
  <c r="CQ34" i="10"/>
  <c r="CT34" i="10" s="1"/>
  <c r="CQ35" i="10"/>
  <c r="CT35" i="10" s="1"/>
  <c r="CQ36" i="10"/>
  <c r="CT36" i="10" s="1"/>
  <c r="CQ37" i="10"/>
  <c r="CQ38" i="10"/>
  <c r="CT38" i="10" s="1"/>
  <c r="CQ39" i="10"/>
  <c r="CT39" i="10" s="1"/>
  <c r="CQ40" i="10"/>
  <c r="CT40" i="10" s="1"/>
  <c r="CQ41" i="10"/>
  <c r="CT41" i="10" s="1"/>
  <c r="CQ42" i="10"/>
  <c r="CQ43" i="10"/>
  <c r="CT43" i="10" s="1"/>
  <c r="CQ44" i="10"/>
  <c r="CT44" i="10" s="1"/>
  <c r="CQ45" i="10"/>
  <c r="CT45" i="10" s="1"/>
  <c r="CQ46" i="10"/>
  <c r="CT46" i="10" s="1"/>
  <c r="CQ17" i="10"/>
  <c r="CR17" i="10" s="1"/>
  <c r="CJ18" i="10"/>
  <c r="CN18" i="10" s="1"/>
  <c r="CJ19" i="10"/>
  <c r="CN19" i="10" s="1"/>
  <c r="CJ20" i="10"/>
  <c r="CK20" i="10" s="1"/>
  <c r="CJ21" i="10"/>
  <c r="CN21" i="10" s="1"/>
  <c r="CJ22" i="10"/>
  <c r="CN22" i="10" s="1"/>
  <c r="CJ23" i="10"/>
  <c r="CJ24" i="10"/>
  <c r="CK24" i="10" s="1"/>
  <c r="CJ25" i="10"/>
  <c r="CN25" i="10" s="1"/>
  <c r="CJ26" i="10"/>
  <c r="CK26" i="10" s="1"/>
  <c r="CJ27" i="10"/>
  <c r="CK27" i="10" s="1"/>
  <c r="CJ28" i="10"/>
  <c r="CK28" i="10" s="1"/>
  <c r="CJ29" i="10"/>
  <c r="CN29" i="10" s="1"/>
  <c r="CJ30" i="10"/>
  <c r="CK30" i="10" s="1"/>
  <c r="CJ31" i="10"/>
  <c r="CN31" i="10" s="1"/>
  <c r="CJ32" i="10"/>
  <c r="CN32" i="10" s="1"/>
  <c r="CJ33" i="10"/>
  <c r="CJ34" i="10"/>
  <c r="CJ35" i="10"/>
  <c r="CN35" i="10" s="1"/>
  <c r="CJ36" i="10"/>
  <c r="CJ37" i="10"/>
  <c r="CN37" i="10" s="1"/>
  <c r="CJ38" i="10"/>
  <c r="CN38" i="10" s="1"/>
  <c r="CJ39" i="10"/>
  <c r="CN39" i="10" s="1"/>
  <c r="CJ40" i="10"/>
  <c r="CN40" i="10" s="1"/>
  <c r="CJ41" i="10"/>
  <c r="CJ42" i="10"/>
  <c r="CJ43" i="10"/>
  <c r="CN43" i="10" s="1"/>
  <c r="CJ44" i="10"/>
  <c r="CJ45" i="10"/>
  <c r="CN45" i="10" s="1"/>
  <c r="CJ46" i="10"/>
  <c r="CN46" i="10" s="1"/>
  <c r="CJ17" i="10"/>
  <c r="CK17" i="10" s="1"/>
  <c r="BI51" i="10"/>
  <c r="BL51" i="10" s="1"/>
  <c r="BI46" i="10"/>
  <c r="BL46" i="10" s="1"/>
  <c r="BB52" i="10"/>
  <c r="BF52" i="10" s="1"/>
  <c r="BB53" i="10"/>
  <c r="BF53" i="10" s="1"/>
  <c r="BB54" i="10"/>
  <c r="BF54" i="10" s="1"/>
  <c r="BB55" i="10"/>
  <c r="BB56" i="10"/>
  <c r="BB57" i="10"/>
  <c r="BF57" i="10" s="1"/>
  <c r="BB58" i="10"/>
  <c r="BF58" i="10" s="1"/>
  <c r="BB59" i="10"/>
  <c r="BF59" i="10" s="1"/>
  <c r="BB60" i="10"/>
  <c r="BF60" i="10" s="1"/>
  <c r="BB51" i="10"/>
  <c r="BF51" i="10" s="1"/>
  <c r="BB18" i="10"/>
  <c r="BC18" i="10" s="1"/>
  <c r="BB19" i="10"/>
  <c r="BC19" i="10" s="1"/>
  <c r="BB20" i="10"/>
  <c r="BC20" i="10" s="1"/>
  <c r="BB21" i="10"/>
  <c r="BF21" i="10" s="1"/>
  <c r="BB22" i="10"/>
  <c r="BC22" i="10" s="1"/>
  <c r="BB23" i="10"/>
  <c r="BB24" i="10"/>
  <c r="BB25" i="10"/>
  <c r="BB26" i="10"/>
  <c r="BF26" i="10" s="1"/>
  <c r="BB27" i="10"/>
  <c r="BC27" i="10" s="1"/>
  <c r="BB28" i="10"/>
  <c r="BC28" i="10" s="1"/>
  <c r="BB29" i="10"/>
  <c r="BC29" i="10" s="1"/>
  <c r="BB30" i="10"/>
  <c r="BC30" i="10" s="1"/>
  <c r="BB31" i="10"/>
  <c r="BB32" i="10"/>
  <c r="BC32" i="10" s="1"/>
  <c r="BB33" i="10"/>
  <c r="BC33" i="10" s="1"/>
  <c r="BB34" i="10"/>
  <c r="BF34" i="10" s="1"/>
  <c r="BB35" i="10"/>
  <c r="BC35" i="10" s="1"/>
  <c r="BB36" i="10"/>
  <c r="BC36" i="10" s="1"/>
  <c r="BB37" i="10"/>
  <c r="BB38" i="10"/>
  <c r="BC38" i="10" s="1"/>
  <c r="BG38" i="10" s="1"/>
  <c r="BB39" i="10"/>
  <c r="BC39" i="10" s="1"/>
  <c r="BG39" i="10" s="1"/>
  <c r="BB40" i="10"/>
  <c r="BC40" i="10" s="1"/>
  <c r="BG40" i="10" s="1"/>
  <c r="BB41" i="10"/>
  <c r="BC41" i="10" s="1"/>
  <c r="BG41" i="10" s="1"/>
  <c r="BB42" i="10"/>
  <c r="BF42" i="10" s="1"/>
  <c r="BB43" i="10"/>
  <c r="BB44" i="10"/>
  <c r="BC44" i="10" s="1"/>
  <c r="BG44" i="10" s="1"/>
  <c r="BB45" i="10"/>
  <c r="BB17" i="10"/>
  <c r="BC17" i="10" s="1"/>
  <c r="BB46" i="10"/>
  <c r="AL22" i="10"/>
  <c r="AL18" i="10"/>
  <c r="AL19" i="10"/>
  <c r="AL20" i="10"/>
  <c r="AL21" i="10"/>
  <c r="AL23" i="10"/>
  <c r="AL24" i="10"/>
  <c r="AL25" i="10"/>
  <c r="AL26" i="10"/>
  <c r="AL27" i="10"/>
  <c r="AL28" i="10"/>
  <c r="AL17" i="10"/>
  <c r="AL29" i="10"/>
  <c r="AL30" i="10"/>
  <c r="AL31" i="10"/>
  <c r="AL32" i="10"/>
  <c r="AL33" i="10"/>
  <c r="AL34" i="10"/>
  <c r="AL35" i="10"/>
  <c r="AL36" i="10"/>
  <c r="AL37" i="10"/>
  <c r="AL38" i="10"/>
  <c r="AL39" i="10"/>
  <c r="AL40" i="10"/>
  <c r="AL41" i="10"/>
  <c r="AL42" i="10"/>
  <c r="AL43" i="10"/>
  <c r="AL44" i="10"/>
  <c r="AL45" i="10"/>
  <c r="AL46" i="10"/>
  <c r="AU29" i="10"/>
  <c r="AV29" i="10" s="1"/>
  <c r="AU30" i="10"/>
  <c r="AV30" i="10" s="1"/>
  <c r="AU31" i="10"/>
  <c r="AU32" i="10"/>
  <c r="AV32" i="10" s="1"/>
  <c r="AU33" i="10"/>
  <c r="AV33" i="10" s="1"/>
  <c r="AU34" i="10"/>
  <c r="AV34" i="10" s="1"/>
  <c r="AU35" i="10"/>
  <c r="AV35" i="10" s="1"/>
  <c r="AU36" i="10"/>
  <c r="AV36" i="10" s="1"/>
  <c r="AU37" i="10"/>
  <c r="AU38" i="10"/>
  <c r="AV38" i="10" s="1"/>
  <c r="AU39" i="10"/>
  <c r="AU40" i="10"/>
  <c r="AV40" i="10" s="1"/>
  <c r="AU41" i="10"/>
  <c r="AV41" i="10" s="1"/>
  <c r="AU42" i="10"/>
  <c r="AV42" i="10" s="1"/>
  <c r="AU43" i="10"/>
  <c r="AV43" i="10" s="1"/>
  <c r="AU44" i="10"/>
  <c r="AV44" i="10" s="1"/>
  <c r="AU45" i="10"/>
  <c r="AU46" i="10"/>
  <c r="AV46" i="10" s="1"/>
  <c r="V60" i="10"/>
  <c r="V59" i="10"/>
  <c r="V58" i="10"/>
  <c r="V57" i="10"/>
  <c r="V56" i="10"/>
  <c r="X56" i="10" s="1"/>
  <c r="Z56" i="10" s="1"/>
  <c r="V55" i="10"/>
  <c r="V54" i="10"/>
  <c r="V53" i="10"/>
  <c r="V52" i="10"/>
  <c r="X52" i="10" s="1"/>
  <c r="Z52" i="10" s="1"/>
  <c r="W45" i="10"/>
  <c r="W46" i="10"/>
  <c r="CU51" i="10"/>
  <c r="CW51" i="10" s="1"/>
  <c r="BV51" i="10"/>
  <c r="CB51" i="10" s="1"/>
  <c r="AL51" i="10"/>
  <c r="BD51" i="10" s="1"/>
  <c r="BM51" i="10"/>
  <c r="BP51" i="10" s="1"/>
  <c r="AL52" i="10"/>
  <c r="BM52" i="10"/>
  <c r="BP52" i="10" s="1"/>
  <c r="AL53" i="10"/>
  <c r="BD53" i="10" s="1"/>
  <c r="BM53" i="10"/>
  <c r="BN53" i="10" s="1"/>
  <c r="AL54" i="10"/>
  <c r="BM54" i="10"/>
  <c r="BN54" i="10" s="1"/>
  <c r="AL55" i="10"/>
  <c r="BM55" i="10"/>
  <c r="BP55" i="10" s="1"/>
  <c r="AL56" i="10"/>
  <c r="BM56" i="10"/>
  <c r="BP56" i="10" s="1"/>
  <c r="AL57" i="10"/>
  <c r="BD57" i="10" s="1"/>
  <c r="BM57" i="10"/>
  <c r="BP57" i="10" s="1"/>
  <c r="AL58" i="10"/>
  <c r="BM58" i="10"/>
  <c r="BP58" i="10" s="1"/>
  <c r="AL59" i="10"/>
  <c r="BD59" i="10" s="1"/>
  <c r="BM59" i="10"/>
  <c r="BP59" i="10" s="1"/>
  <c r="AL60" i="10"/>
  <c r="BM60" i="10"/>
  <c r="BN60" i="10" s="1"/>
  <c r="AU51" i="10"/>
  <c r="AV51" i="10" s="1"/>
  <c r="AU52" i="10"/>
  <c r="AY52" i="10" s="1"/>
  <c r="AU53" i="10"/>
  <c r="AV53" i="10" s="1"/>
  <c r="AU54" i="10"/>
  <c r="AY54" i="10" s="1"/>
  <c r="AU55" i="10"/>
  <c r="AY55" i="10" s="1"/>
  <c r="AU56" i="10"/>
  <c r="AV56" i="10" s="1"/>
  <c r="AU57" i="10"/>
  <c r="AY57" i="10" s="1"/>
  <c r="AU58" i="10"/>
  <c r="AV58" i="10" s="1"/>
  <c r="AU59" i="10"/>
  <c r="AY59" i="10" s="1"/>
  <c r="AU60" i="10"/>
  <c r="AY60" i="10" s="1"/>
  <c r="AN51" i="10"/>
  <c r="AO51" i="10" s="1"/>
  <c r="AN52" i="10"/>
  <c r="AO52" i="10" s="1"/>
  <c r="AN53" i="10"/>
  <c r="AO53" i="10" s="1"/>
  <c r="AN54" i="10"/>
  <c r="AR54" i="10" s="1"/>
  <c r="AN55" i="10"/>
  <c r="AR55" i="10" s="1"/>
  <c r="AN56" i="10"/>
  <c r="AN57" i="10"/>
  <c r="AR57" i="10" s="1"/>
  <c r="AN58" i="10"/>
  <c r="AR58" i="10" s="1"/>
  <c r="AN59" i="10"/>
  <c r="AO59" i="10" s="1"/>
  <c r="AN60" i="10"/>
  <c r="AR60" i="10" s="1"/>
  <c r="CU17" i="10"/>
  <c r="CX17" i="10" s="1"/>
  <c r="CU18" i="10"/>
  <c r="CX18" i="10" s="1"/>
  <c r="CU19" i="10"/>
  <c r="CX19" i="10" s="1"/>
  <c r="CU20" i="10"/>
  <c r="CX20" i="10" s="1"/>
  <c r="CU21" i="10"/>
  <c r="CX21" i="10" s="1"/>
  <c r="CU22" i="10"/>
  <c r="CV22" i="10" s="1"/>
  <c r="CU23" i="10"/>
  <c r="CX23" i="10" s="1"/>
  <c r="CU24" i="10"/>
  <c r="CX24" i="10" s="1"/>
  <c r="CU25" i="10"/>
  <c r="CX25" i="10" s="1"/>
  <c r="CU26" i="10"/>
  <c r="CX26" i="10" s="1"/>
  <c r="CU27" i="10"/>
  <c r="CV27" i="10" s="1"/>
  <c r="CU28" i="10"/>
  <c r="CX28" i="10" s="1"/>
  <c r="BV17" i="10"/>
  <c r="BV18" i="10"/>
  <c r="BW18" i="10" s="1"/>
  <c r="BV19" i="10"/>
  <c r="BW19" i="10" s="1"/>
  <c r="BV20" i="10"/>
  <c r="BW20" i="10" s="1"/>
  <c r="BV21" i="10"/>
  <c r="BW21" i="10" s="1"/>
  <c r="BV22" i="10"/>
  <c r="BW22" i="10" s="1"/>
  <c r="BV23" i="10"/>
  <c r="BW23" i="10" s="1"/>
  <c r="BV24" i="10"/>
  <c r="BW24" i="10" s="1"/>
  <c r="BV25" i="10"/>
  <c r="BW25" i="10" s="1"/>
  <c r="BV26" i="10"/>
  <c r="BW26" i="10" s="1"/>
  <c r="BV27" i="10"/>
  <c r="BW27" i="10" s="1"/>
  <c r="BV28" i="10"/>
  <c r="BW28" i="10" s="1"/>
  <c r="BV29" i="10"/>
  <c r="BW29" i="10" s="1"/>
  <c r="BV30" i="10"/>
  <c r="BW30" i="10" s="1"/>
  <c r="BV31" i="10"/>
  <c r="BW31" i="10" s="1"/>
  <c r="BV32" i="10"/>
  <c r="BW32" i="10" s="1"/>
  <c r="BV33" i="10"/>
  <c r="BV34" i="10"/>
  <c r="BW34" i="10" s="1"/>
  <c r="BV35" i="10"/>
  <c r="BV36" i="10"/>
  <c r="BW36" i="10" s="1"/>
  <c r="BV37" i="10"/>
  <c r="BW37" i="10" s="1"/>
  <c r="BV38" i="10"/>
  <c r="BW38" i="10" s="1"/>
  <c r="BV39" i="10"/>
  <c r="BW39" i="10" s="1"/>
  <c r="BV40" i="10"/>
  <c r="BV41" i="10"/>
  <c r="BW41" i="10" s="1"/>
  <c r="BV42" i="10"/>
  <c r="BV43" i="10"/>
  <c r="BW43" i="10" s="1"/>
  <c r="BV44" i="10"/>
  <c r="BW44" i="10" s="1"/>
  <c r="BV45" i="10"/>
  <c r="BV46" i="10"/>
  <c r="CB46" i="10" s="1"/>
  <c r="B29" i="12"/>
  <c r="B5" i="12"/>
  <c r="B4" i="12"/>
  <c r="B19" i="12"/>
  <c r="B6" i="12"/>
  <c r="C29" i="12"/>
  <c r="B11" i="12"/>
  <c r="B10" i="12"/>
  <c r="B20" i="12"/>
  <c r="B12" i="12"/>
  <c r="B13" i="12"/>
  <c r="B14" i="12"/>
  <c r="B15" i="12"/>
  <c r="B7" i="12"/>
  <c r="B8" i="12"/>
  <c r="B9" i="12"/>
  <c r="B30" i="12"/>
  <c r="C30" i="12"/>
  <c r="B31" i="12"/>
  <c r="C31" i="12"/>
  <c r="B32" i="12"/>
  <c r="C32" i="12"/>
  <c r="B33" i="12"/>
  <c r="C33" i="12"/>
  <c r="B34" i="12"/>
  <c r="C34" i="12"/>
  <c r="B35" i="12"/>
  <c r="C35" i="12"/>
  <c r="B36" i="12"/>
  <c r="C36" i="12"/>
  <c r="B37" i="12"/>
  <c r="C37" i="12"/>
  <c r="B28" i="12"/>
  <c r="C28" i="12"/>
  <c r="C38" i="12"/>
  <c r="B38" i="12"/>
  <c r="C57" i="12"/>
  <c r="A57" i="12"/>
  <c r="C56" i="12"/>
  <c r="A56" i="12"/>
  <c r="C55" i="12"/>
  <c r="A55" i="12"/>
  <c r="C54" i="12"/>
  <c r="A54" i="12"/>
  <c r="C53" i="12"/>
  <c r="A53" i="12"/>
  <c r="C52" i="12"/>
  <c r="A52" i="12"/>
  <c r="C51" i="12"/>
  <c r="A51" i="12"/>
  <c r="C50" i="12"/>
  <c r="A50" i="12"/>
  <c r="C49" i="12"/>
  <c r="A49" i="12"/>
  <c r="C48" i="12"/>
  <c r="A48" i="12"/>
  <c r="C47" i="12"/>
  <c r="A47" i="12"/>
  <c r="C46" i="12"/>
  <c r="A46" i="12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B3" i="12"/>
  <c r="J50" i="10"/>
  <c r="BM17" i="10"/>
  <c r="BN17" i="10" s="1"/>
  <c r="BM18" i="10"/>
  <c r="BN18" i="10" s="1"/>
  <c r="BM19" i="10"/>
  <c r="BN19" i="10" s="1"/>
  <c r="BO19" i="10" s="1"/>
  <c r="BM20" i="10"/>
  <c r="BN20" i="10" s="1"/>
  <c r="BM21" i="10"/>
  <c r="BN21" i="10" s="1"/>
  <c r="BM22" i="10"/>
  <c r="BN22" i="10" s="1"/>
  <c r="BM23" i="10"/>
  <c r="BN23" i="10" s="1"/>
  <c r="BM24" i="10"/>
  <c r="BN24" i="10" s="1"/>
  <c r="BM25" i="10"/>
  <c r="BN25" i="10" s="1"/>
  <c r="BM26" i="10"/>
  <c r="BN26" i="10" s="1"/>
  <c r="BM27" i="10"/>
  <c r="BN27" i="10" s="1"/>
  <c r="BM28" i="10"/>
  <c r="BN28" i="10" s="1"/>
  <c r="BM29" i="10"/>
  <c r="BN29" i="10" s="1"/>
  <c r="BM30" i="10"/>
  <c r="BN30" i="10" s="1"/>
  <c r="BM31" i="10"/>
  <c r="BP31" i="10" s="1"/>
  <c r="BM32" i="10"/>
  <c r="BM33" i="10"/>
  <c r="BN33" i="10" s="1"/>
  <c r="BM34" i="10"/>
  <c r="BN34" i="10" s="1"/>
  <c r="BM35" i="10"/>
  <c r="BN35" i="10" s="1"/>
  <c r="BO35" i="10" s="1"/>
  <c r="BM36" i="10"/>
  <c r="BN36" i="10" s="1"/>
  <c r="BM37" i="10"/>
  <c r="BM38" i="10"/>
  <c r="BN38" i="10" s="1"/>
  <c r="BM39" i="10"/>
  <c r="BN39" i="10" s="1"/>
  <c r="BO39" i="10" s="1"/>
  <c r="BM40" i="10"/>
  <c r="BM41" i="10"/>
  <c r="BN41" i="10" s="1"/>
  <c r="BM42" i="10"/>
  <c r="BN42" i="10" s="1"/>
  <c r="BM43" i="10"/>
  <c r="BN43" i="10" s="1"/>
  <c r="BO43" i="10" s="1"/>
  <c r="BM44" i="10"/>
  <c r="BN44" i="10" s="1"/>
  <c r="BM45" i="10"/>
  <c r="BM46" i="10"/>
  <c r="BI17" i="10"/>
  <c r="BL17" i="10" s="1"/>
  <c r="BI18" i="10"/>
  <c r="BI19" i="10"/>
  <c r="BI20" i="10"/>
  <c r="BL20" i="10" s="1"/>
  <c r="BI21" i="10"/>
  <c r="BI22" i="10"/>
  <c r="BI23" i="10"/>
  <c r="BI24" i="10"/>
  <c r="BL24" i="10" s="1"/>
  <c r="BI25" i="10"/>
  <c r="BI26" i="10"/>
  <c r="BI27" i="10"/>
  <c r="BI28" i="10"/>
  <c r="BL28" i="10" s="1"/>
  <c r="BI29" i="10"/>
  <c r="BI30" i="10"/>
  <c r="BI31" i="10"/>
  <c r="BI32" i="10"/>
  <c r="BI33" i="10"/>
  <c r="BI34" i="10"/>
  <c r="BI35" i="10"/>
  <c r="BI36" i="10"/>
  <c r="BI37" i="10"/>
  <c r="BI38" i="10"/>
  <c r="BI39" i="10"/>
  <c r="BI40" i="10"/>
  <c r="BI41" i="10"/>
  <c r="BI42" i="10"/>
  <c r="BI43" i="10"/>
  <c r="BI44" i="10"/>
  <c r="BI45" i="10"/>
  <c r="AN17" i="10"/>
  <c r="AO17" i="10" s="1"/>
  <c r="AN18" i="10"/>
  <c r="AO18" i="10" s="1"/>
  <c r="AN19" i="10"/>
  <c r="AN20" i="10"/>
  <c r="AN21" i="10"/>
  <c r="AR21" i="10" s="1"/>
  <c r="AN22" i="10"/>
  <c r="AO22" i="10" s="1"/>
  <c r="AN23" i="10"/>
  <c r="AO23" i="10" s="1"/>
  <c r="AN24" i="10"/>
  <c r="AO24" i="10" s="1"/>
  <c r="AN25" i="10"/>
  <c r="AR25" i="10" s="1"/>
  <c r="AN26" i="10"/>
  <c r="AO26" i="10" s="1"/>
  <c r="AO27" i="10"/>
  <c r="AN28" i="10"/>
  <c r="AO28" i="10" s="1"/>
  <c r="AN29" i="10"/>
  <c r="AR29" i="10" s="1"/>
  <c r="AN30" i="10"/>
  <c r="AO30" i="10" s="1"/>
  <c r="AN31" i="10"/>
  <c r="AO31" i="10" s="1"/>
  <c r="AN32" i="10"/>
  <c r="AO32" i="10" s="1"/>
  <c r="AN33" i="10"/>
  <c r="AO33" i="10" s="1"/>
  <c r="AN34" i="10"/>
  <c r="AO34" i="10" s="1"/>
  <c r="AN35" i="10"/>
  <c r="AO35" i="10" s="1"/>
  <c r="AN36" i="10"/>
  <c r="AN37" i="10"/>
  <c r="AR37" i="10" s="1"/>
  <c r="AN38" i="10"/>
  <c r="AO38" i="10" s="1"/>
  <c r="AN39" i="10"/>
  <c r="AN40" i="10"/>
  <c r="AN41" i="10"/>
  <c r="AN42" i="10"/>
  <c r="AO42" i="10" s="1"/>
  <c r="AN43" i="10"/>
  <c r="AO43" i="10" s="1"/>
  <c r="AN44" i="10"/>
  <c r="AN45" i="10"/>
  <c r="AO45" i="10" s="1"/>
  <c r="AN46" i="10"/>
  <c r="AO46" i="10" s="1"/>
  <c r="AU17" i="10"/>
  <c r="AV17" i="10" s="1"/>
  <c r="AU18" i="10"/>
  <c r="AY18" i="10" s="1"/>
  <c r="AU19" i="10"/>
  <c r="AV19" i="10" s="1"/>
  <c r="AU20" i="10"/>
  <c r="AY20" i="10" s="1"/>
  <c r="AU21" i="10"/>
  <c r="AU22" i="10"/>
  <c r="AY22" i="10" s="1"/>
  <c r="AU23" i="10"/>
  <c r="AY23" i="10" s="1"/>
  <c r="AU24" i="10"/>
  <c r="AY24" i="10" s="1"/>
  <c r="AU25" i="10"/>
  <c r="AU26" i="10"/>
  <c r="AY26" i="10" s="1"/>
  <c r="AU27" i="10"/>
  <c r="AV27" i="10" s="1"/>
  <c r="AU28" i="10"/>
  <c r="AY28" i="10" s="1"/>
  <c r="O76" i="10"/>
  <c r="X75" i="10"/>
  <c r="X74" i="10"/>
  <c r="T76" i="10"/>
  <c r="T75" i="10"/>
  <c r="T74" i="10"/>
  <c r="O75" i="10"/>
  <c r="O74" i="10"/>
  <c r="L76" i="10"/>
  <c r="L75" i="10"/>
  <c r="L74" i="10"/>
  <c r="B5" i="11"/>
  <c r="B4" i="11"/>
  <c r="B29" i="11"/>
  <c r="B19" i="11"/>
  <c r="B6" i="11"/>
  <c r="B13" i="11"/>
  <c r="B14" i="11"/>
  <c r="B15" i="11"/>
  <c r="B11" i="11"/>
  <c r="B10" i="11"/>
  <c r="C29" i="11"/>
  <c r="B20" i="11"/>
  <c r="B12" i="11"/>
  <c r="B7" i="11"/>
  <c r="B8" i="11"/>
  <c r="B9" i="11"/>
  <c r="B30" i="11"/>
  <c r="C30" i="11"/>
  <c r="B31" i="11"/>
  <c r="C31" i="11"/>
  <c r="B28" i="11"/>
  <c r="C28" i="11"/>
  <c r="B37" i="11"/>
  <c r="C37" i="11"/>
  <c r="B38" i="11"/>
  <c r="C38" i="11"/>
  <c r="B32" i="11"/>
  <c r="C32" i="11"/>
  <c r="B33" i="11"/>
  <c r="C33" i="11"/>
  <c r="B34" i="11"/>
  <c r="C34" i="11"/>
  <c r="B35" i="11"/>
  <c r="C35" i="11"/>
  <c r="B36" i="11"/>
  <c r="C36" i="11"/>
  <c r="A97" i="10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B3" i="11"/>
  <c r="O50" i="10"/>
  <c r="B57" i="11"/>
  <c r="C57" i="11"/>
  <c r="B45" i="11"/>
  <c r="C45" i="11"/>
  <c r="B46" i="11"/>
  <c r="C46" i="11"/>
  <c r="B47" i="11"/>
  <c r="C47" i="11"/>
  <c r="B48" i="11"/>
  <c r="C48" i="11"/>
  <c r="B49" i="11"/>
  <c r="C49" i="11"/>
  <c r="B50" i="11"/>
  <c r="C50" i="11"/>
  <c r="B51" i="11"/>
  <c r="C51" i="11"/>
  <c r="B52" i="11"/>
  <c r="C52" i="11"/>
  <c r="B53" i="11"/>
  <c r="C53" i="11"/>
  <c r="B54" i="11"/>
  <c r="C54" i="11"/>
  <c r="B55" i="11"/>
  <c r="C55" i="11"/>
  <c r="B56" i="11"/>
  <c r="C56" i="11"/>
  <c r="B39" i="11"/>
  <c r="C39" i="11"/>
  <c r="B40" i="11"/>
  <c r="C40" i="11"/>
  <c r="B41" i="11"/>
  <c r="C41" i="11"/>
  <c r="B42" i="11"/>
  <c r="C42" i="11"/>
  <c r="B43" i="11"/>
  <c r="C43" i="11"/>
  <c r="B44" i="11"/>
  <c r="C44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28" i="11"/>
  <c r="L50" i="10"/>
  <c r="M50" i="10"/>
  <c r="E64" i="10"/>
  <c r="D64" i="10"/>
  <c r="I50" i="10"/>
  <c r="DT51" i="10"/>
  <c r="DW51" i="10" s="1"/>
  <c r="DH51" i="10"/>
  <c r="DI51" i="10" s="1"/>
  <c r="DD51" i="10"/>
  <c r="DE51" i="10" s="1"/>
  <c r="DT17" i="10"/>
  <c r="DW17" i="10" s="1"/>
  <c r="DT18" i="10"/>
  <c r="DU18" i="10" s="1"/>
  <c r="DT19" i="10"/>
  <c r="DU19" i="10" s="1"/>
  <c r="DT20" i="10"/>
  <c r="DT21" i="10"/>
  <c r="DT22" i="10"/>
  <c r="DU22" i="10" s="1"/>
  <c r="DT23" i="10"/>
  <c r="DU23" i="10" s="1"/>
  <c r="DT24" i="10"/>
  <c r="DT25" i="10"/>
  <c r="DT26" i="10"/>
  <c r="DW26" i="10" s="1"/>
  <c r="DT27" i="10"/>
  <c r="DW27" i="10" s="1"/>
  <c r="DT28" i="10"/>
  <c r="DT29" i="10"/>
  <c r="DU29" i="10" s="1"/>
  <c r="DT30" i="10"/>
  <c r="DT31" i="10"/>
  <c r="DU31" i="10" s="1"/>
  <c r="DT32" i="10"/>
  <c r="DW32" i="10" s="1"/>
  <c r="DT33" i="10"/>
  <c r="DW33" i="10" s="1"/>
  <c r="DT34" i="10"/>
  <c r="DU34" i="10" s="1"/>
  <c r="DT35" i="10"/>
  <c r="DU35" i="10" s="1"/>
  <c r="DT36" i="10"/>
  <c r="DW36" i="10" s="1"/>
  <c r="DT37" i="10"/>
  <c r="DT38" i="10"/>
  <c r="DU38" i="10" s="1"/>
  <c r="DT39" i="10"/>
  <c r="DW39" i="10" s="1"/>
  <c r="DT40" i="10"/>
  <c r="DW40" i="10" s="1"/>
  <c r="DT41" i="10"/>
  <c r="DW41" i="10" s="1"/>
  <c r="DT42" i="10"/>
  <c r="DU42" i="10" s="1"/>
  <c r="DT43" i="10"/>
  <c r="DW43" i="10" s="1"/>
  <c r="DT44" i="10"/>
  <c r="DW44" i="10" s="1"/>
  <c r="DT45" i="10"/>
  <c r="DT46" i="10"/>
  <c r="DW46" i="10" s="1"/>
  <c r="DH17" i="10"/>
  <c r="DI17" i="10" s="1"/>
  <c r="DH18" i="10"/>
  <c r="DH19" i="10"/>
  <c r="DI19" i="10" s="1"/>
  <c r="DH20" i="10"/>
  <c r="DH21" i="10"/>
  <c r="DI21" i="10" s="1"/>
  <c r="DH22" i="10"/>
  <c r="DH23" i="10"/>
  <c r="DH24" i="10"/>
  <c r="DH25" i="10"/>
  <c r="DI25" i="10" s="1"/>
  <c r="DH26" i="10"/>
  <c r="DH27" i="10"/>
  <c r="DH28" i="10"/>
  <c r="DH29" i="10"/>
  <c r="DK29" i="10" s="1"/>
  <c r="DH30" i="10"/>
  <c r="DH31" i="10"/>
  <c r="DI31" i="10" s="1"/>
  <c r="DH32" i="10"/>
  <c r="DK32" i="10" s="1"/>
  <c r="DH33" i="10"/>
  <c r="DK33" i="10" s="1"/>
  <c r="DH34" i="10"/>
  <c r="DK34" i="10" s="1"/>
  <c r="DH35" i="10"/>
  <c r="DH36" i="10"/>
  <c r="DK36" i="10" s="1"/>
  <c r="DH37" i="10"/>
  <c r="DK37" i="10" s="1"/>
  <c r="DH38" i="10"/>
  <c r="DK38" i="10" s="1"/>
  <c r="DH39" i="10"/>
  <c r="DH40" i="10"/>
  <c r="DK40" i="10" s="1"/>
  <c r="DH41" i="10"/>
  <c r="DK41" i="10" s="1"/>
  <c r="DH42" i="10"/>
  <c r="DK42" i="10" s="1"/>
  <c r="DH43" i="10"/>
  <c r="DH44" i="10"/>
  <c r="DK44" i="10" s="1"/>
  <c r="DH45" i="10"/>
  <c r="DK45" i="10" s="1"/>
  <c r="DH46" i="10"/>
  <c r="DI46" i="10" s="1"/>
  <c r="DK31" i="10"/>
  <c r="DD17" i="10"/>
  <c r="DD18" i="10"/>
  <c r="DE18" i="10" s="1"/>
  <c r="DF18" i="10" s="1"/>
  <c r="DD19" i="10"/>
  <c r="DD20" i="10"/>
  <c r="DG20" i="10" s="1"/>
  <c r="DD21" i="10"/>
  <c r="DD22" i="10"/>
  <c r="DE22" i="10" s="1"/>
  <c r="DF22" i="10" s="1"/>
  <c r="DD23" i="10"/>
  <c r="DE23" i="10" s="1"/>
  <c r="DD24" i="10"/>
  <c r="DG24" i="10" s="1"/>
  <c r="DD25" i="10"/>
  <c r="DD26" i="10"/>
  <c r="DE26" i="10" s="1"/>
  <c r="DF26" i="10" s="1"/>
  <c r="DD27" i="10"/>
  <c r="DE27" i="10" s="1"/>
  <c r="DD28" i="10"/>
  <c r="DG28" i="10" s="1"/>
  <c r="DD29" i="10"/>
  <c r="DE29" i="10" s="1"/>
  <c r="DD30" i="10"/>
  <c r="DE30" i="10" s="1"/>
  <c r="DF30" i="10" s="1"/>
  <c r="DD31" i="10"/>
  <c r="DD32" i="10"/>
  <c r="DE32" i="10" s="1"/>
  <c r="DD33" i="10"/>
  <c r="DE33" i="10" s="1"/>
  <c r="DD34" i="10"/>
  <c r="DE34" i="10" s="1"/>
  <c r="DF34" i="10" s="1"/>
  <c r="DD35" i="10"/>
  <c r="DE35" i="10" s="1"/>
  <c r="DD36" i="10"/>
  <c r="DE36" i="10" s="1"/>
  <c r="DD37" i="10"/>
  <c r="DE37" i="10" s="1"/>
  <c r="DD38" i="10"/>
  <c r="DE38" i="10" s="1"/>
  <c r="DF38" i="10" s="1"/>
  <c r="DD39" i="10"/>
  <c r="DE39" i="10" s="1"/>
  <c r="DD40" i="10"/>
  <c r="DG40" i="10" s="1"/>
  <c r="DD41" i="10"/>
  <c r="DE41" i="10" s="1"/>
  <c r="DD42" i="10"/>
  <c r="DD43" i="10"/>
  <c r="DE43" i="10" s="1"/>
  <c r="DD44" i="10"/>
  <c r="DD45" i="10"/>
  <c r="DE45" i="10" s="1"/>
  <c r="DD46" i="10"/>
  <c r="CU29" i="10"/>
  <c r="CX29" i="10" s="1"/>
  <c r="CU30" i="10"/>
  <c r="CV30" i="10" s="1"/>
  <c r="CU31" i="10"/>
  <c r="CX31" i="10" s="1"/>
  <c r="CU32" i="10"/>
  <c r="CU33" i="10"/>
  <c r="CX33" i="10" s="1"/>
  <c r="CU34" i="10"/>
  <c r="CX34" i="10" s="1"/>
  <c r="CU35" i="10"/>
  <c r="CX35" i="10" s="1"/>
  <c r="CU36" i="10"/>
  <c r="CU37" i="10"/>
  <c r="CV37" i="10" s="1"/>
  <c r="CU38" i="10"/>
  <c r="CX38" i="10" s="1"/>
  <c r="CU39" i="10"/>
  <c r="CX39" i="10" s="1"/>
  <c r="CU40" i="10"/>
  <c r="CU41" i="10"/>
  <c r="CX41" i="10" s="1"/>
  <c r="CU42" i="10"/>
  <c r="CX42" i="10" s="1"/>
  <c r="CU43" i="10"/>
  <c r="CV43" i="10" s="1"/>
  <c r="CU44" i="10"/>
  <c r="CU45" i="10"/>
  <c r="CX45" i="10" s="1"/>
  <c r="CU46" i="10"/>
  <c r="CX46" i="10" s="1"/>
  <c r="AY58" i="10"/>
  <c r="B19" i="10"/>
  <c r="AK52" i="10"/>
  <c r="AK53" i="10" s="1"/>
  <c r="AK54" i="10" s="1"/>
  <c r="AK55" i="10" s="1"/>
  <c r="AK56" i="10" s="1"/>
  <c r="AK57" i="10" s="1"/>
  <c r="AK58" i="10" s="1"/>
  <c r="AK59" i="10" s="1"/>
  <c r="AK60" i="10" s="1"/>
  <c r="B52" i="10"/>
  <c r="B53" i="10" s="1"/>
  <c r="AV60" i="10"/>
  <c r="DQ32" i="10"/>
  <c r="DQ40" i="10"/>
  <c r="CD41" i="10"/>
  <c r="CD33" i="10"/>
  <c r="DC52" i="10"/>
  <c r="DC53" i="10" s="1"/>
  <c r="DC54" i="10" s="1"/>
  <c r="DC55" i="10" s="1"/>
  <c r="DC56" i="10" s="1"/>
  <c r="DC57" i="10" s="1"/>
  <c r="DC58" i="10" s="1"/>
  <c r="DC59" i="10" s="1"/>
  <c r="DC60" i="10" s="1"/>
  <c r="DC18" i="10"/>
  <c r="DC19" i="10" s="1"/>
  <c r="DC20" i="10" s="1"/>
  <c r="DC21" i="10" s="1"/>
  <c r="DC22" i="10" s="1"/>
  <c r="DC23" i="10" s="1"/>
  <c r="DC24" i="10" s="1"/>
  <c r="DC25" i="10" s="1"/>
  <c r="DC26" i="10" s="1"/>
  <c r="DC27" i="10" s="1"/>
  <c r="DC28" i="10" s="1"/>
  <c r="DC29" i="10" s="1"/>
  <c r="DC30" i="10" s="1"/>
  <c r="DC31" i="10" s="1"/>
  <c r="DC32" i="10" s="1"/>
  <c r="DC33" i="10" s="1"/>
  <c r="DC34" i="10" s="1"/>
  <c r="DC35" i="10" s="1"/>
  <c r="DC36" i="10" s="1"/>
  <c r="DC37" i="10" s="1"/>
  <c r="DC38" i="10" s="1"/>
  <c r="DC39" i="10" s="1"/>
  <c r="DC40" i="10" s="1"/>
  <c r="DC41" i="10" s="1"/>
  <c r="DC42" i="10" s="1"/>
  <c r="DC43" i="10" s="1"/>
  <c r="DC44" i="10" s="1"/>
  <c r="DC45" i="10" s="1"/>
  <c r="DC46" i="10" s="1"/>
  <c r="DT47" i="10"/>
  <c r="DP47" i="10"/>
  <c r="DL47" i="10"/>
  <c r="DC47" i="10"/>
  <c r="BU47" i="10"/>
  <c r="CJ47" i="10"/>
  <c r="CQ47" i="10"/>
  <c r="CU47" i="10"/>
  <c r="BM47" i="10"/>
  <c r="BI47" i="10"/>
  <c r="BB47" i="10"/>
  <c r="AK18" i="10"/>
  <c r="AK19" i="10" s="1"/>
  <c r="AK20" i="10" s="1"/>
  <c r="AK21" i="10" s="1"/>
  <c r="AK22" i="10" s="1"/>
  <c r="AK23" i="10" s="1"/>
  <c r="AK24" i="10" s="1"/>
  <c r="AK25" i="10" s="1"/>
  <c r="AK26" i="10" s="1"/>
  <c r="AK27" i="10" s="1"/>
  <c r="AK28" i="10" s="1"/>
  <c r="AK29" i="10" s="1"/>
  <c r="AK30" i="10" s="1"/>
  <c r="AK31" i="10" s="1"/>
  <c r="AK32" i="10" s="1"/>
  <c r="AK33" i="10" s="1"/>
  <c r="AK34" i="10" s="1"/>
  <c r="AK35" i="10" s="1"/>
  <c r="AK36" i="10" s="1"/>
  <c r="AK37" i="10" s="1"/>
  <c r="AK38" i="10" s="1"/>
  <c r="AK39" i="10" s="1"/>
  <c r="AK40" i="10" s="1"/>
  <c r="AK41" i="10" s="1"/>
  <c r="AK42" i="10" s="1"/>
  <c r="AK43" i="10" s="1"/>
  <c r="AK44" i="10" s="1"/>
  <c r="AK45" i="10" s="1"/>
  <c r="AK46" i="10" s="1"/>
  <c r="V50" i="10"/>
  <c r="M14" i="10"/>
  <c r="W50" i="10"/>
  <c r="Z50" i="10"/>
  <c r="K50" i="10"/>
  <c r="X50" i="10"/>
  <c r="Y50" i="10"/>
  <c r="C26" i="2"/>
  <c r="AM51" i="10"/>
  <c r="AM47" i="10"/>
  <c r="AM17" i="10"/>
  <c r="BU17" i="10" s="1"/>
  <c r="AM18" i="10"/>
  <c r="BU18" i="10" s="1"/>
  <c r="BD60" i="10" l="1"/>
  <c r="CL23" i="10"/>
  <c r="CO23" i="10" s="1"/>
  <c r="BY37" i="10"/>
  <c r="BX37" i="10"/>
  <c r="CM37" i="10"/>
  <c r="CF37" i="10"/>
  <c r="CE37" i="10"/>
  <c r="CH37" i="10" s="1"/>
  <c r="BY36" i="10"/>
  <c r="BX36" i="10"/>
  <c r="CM20" i="10"/>
  <c r="CP20" i="10"/>
  <c r="CM17" i="10"/>
  <c r="CP17" i="10"/>
  <c r="CM30" i="10"/>
  <c r="CP30" i="10" s="1"/>
  <c r="CM28" i="10"/>
  <c r="CP28" i="10"/>
  <c r="CM27" i="10"/>
  <c r="CP27" i="10" s="1"/>
  <c r="CM26" i="10"/>
  <c r="CP26" i="10"/>
  <c r="CM24" i="10"/>
  <c r="CP24" i="10" s="1"/>
  <c r="CA39" i="10"/>
  <c r="BZ39" i="10"/>
  <c r="CA38" i="10"/>
  <c r="BZ38" i="10"/>
  <c r="CA37" i="10"/>
  <c r="BZ37" i="10"/>
  <c r="CA36" i="10"/>
  <c r="BZ36" i="10"/>
  <c r="BY34" i="10"/>
  <c r="CA34" i="10" s="1"/>
  <c r="BY32" i="10"/>
  <c r="CA32" i="10" s="1"/>
  <c r="BY31" i="10"/>
  <c r="CA31" i="10"/>
  <c r="BY30" i="10"/>
  <c r="CA30" i="10" s="1"/>
  <c r="BY29" i="10"/>
  <c r="CA29" i="10"/>
  <c r="BY28" i="10"/>
  <c r="CA28" i="10" s="1"/>
  <c r="BY27" i="10"/>
  <c r="CA27" i="10"/>
  <c r="BY26" i="10"/>
  <c r="CA26" i="10" s="1"/>
  <c r="BY25" i="10"/>
  <c r="CA25" i="10"/>
  <c r="BY24" i="10"/>
  <c r="CA24" i="10" s="1"/>
  <c r="BY23" i="10"/>
  <c r="CA23" i="10"/>
  <c r="BY22" i="10"/>
  <c r="CA22" i="10"/>
  <c r="BY21" i="10"/>
  <c r="CA21" i="10"/>
  <c r="BY20" i="10"/>
  <c r="CA20" i="10"/>
  <c r="BY19" i="10"/>
  <c r="CA19" i="10"/>
  <c r="BY18" i="10"/>
  <c r="CA18" i="10"/>
  <c r="BX34" i="10"/>
  <c r="CF33" i="10"/>
  <c r="CI33" i="10" s="1"/>
  <c r="CE33" i="10"/>
  <c r="BX32" i="10"/>
  <c r="CE32" i="10"/>
  <c r="CF32" i="10"/>
  <c r="CI32" i="10" s="1"/>
  <c r="BX31" i="10"/>
  <c r="BZ31" i="10" s="1"/>
  <c r="BX30" i="10"/>
  <c r="BX29" i="10"/>
  <c r="BZ29" i="10" s="1"/>
  <c r="BX28" i="10"/>
  <c r="BX27" i="10"/>
  <c r="BX26" i="10"/>
  <c r="BX25" i="10"/>
  <c r="BZ25" i="10" s="1"/>
  <c r="BX24" i="10"/>
  <c r="BX23" i="10"/>
  <c r="BZ22" i="10"/>
  <c r="BX22" i="10"/>
  <c r="BX21" i="10"/>
  <c r="BZ21" i="10"/>
  <c r="BZ20" i="10"/>
  <c r="BX20" i="10"/>
  <c r="BZ19" i="10"/>
  <c r="BX19" i="10"/>
  <c r="BZ18" i="10"/>
  <c r="BX18" i="10"/>
  <c r="AQ45" i="10"/>
  <c r="AP45" i="10"/>
  <c r="AW45" i="10"/>
  <c r="AX45" i="10"/>
  <c r="AT43" i="10"/>
  <c r="AS43" i="10"/>
  <c r="BA46" i="10"/>
  <c r="AZ46" i="10"/>
  <c r="AX44" i="10"/>
  <c r="AP44" i="10"/>
  <c r="AW44" i="10"/>
  <c r="AQ44" i="10"/>
  <c r="BA43" i="10"/>
  <c r="AZ43" i="10"/>
  <c r="AS46" i="10"/>
  <c r="AT46" i="10"/>
  <c r="AX43" i="10"/>
  <c r="AQ43" i="10"/>
  <c r="AP43" i="10"/>
  <c r="AW43" i="10"/>
  <c r="AS45" i="10"/>
  <c r="AT45" i="10"/>
  <c r="AZ44" i="10"/>
  <c r="BA44" i="10"/>
  <c r="AQ46" i="10"/>
  <c r="AP46" i="10"/>
  <c r="AW46" i="10"/>
  <c r="AX46" i="10"/>
  <c r="BD58" i="10"/>
  <c r="AX29" i="10"/>
  <c r="AW29" i="10"/>
  <c r="AZ29" i="10" s="1"/>
  <c r="AP22" i="10"/>
  <c r="AQ22" i="10"/>
  <c r="AT22" i="10" s="1"/>
  <c r="AZ42" i="10"/>
  <c r="BA42" i="10"/>
  <c r="BA38" i="10"/>
  <c r="AZ38" i="10"/>
  <c r="AW40" i="10"/>
  <c r="AQ40" i="10"/>
  <c r="AP40" i="10"/>
  <c r="AX40" i="10"/>
  <c r="AX17" i="10"/>
  <c r="BA17" i="10" s="1"/>
  <c r="AP17" i="10"/>
  <c r="AW17" i="10"/>
  <c r="AQ17" i="10"/>
  <c r="AT17" i="10" s="1"/>
  <c r="AT28" i="10"/>
  <c r="AP26" i="10"/>
  <c r="AQ26" i="10"/>
  <c r="AT26" i="10" s="1"/>
  <c r="AS42" i="10"/>
  <c r="AT42" i="10"/>
  <c r="AS38" i="10"/>
  <c r="AT38" i="10"/>
  <c r="BA29" i="10"/>
  <c r="AQ39" i="10"/>
  <c r="AP39" i="10"/>
  <c r="AX39" i="10"/>
  <c r="AW39" i="10"/>
  <c r="AQ28" i="10"/>
  <c r="AP28" i="10"/>
  <c r="AS28" i="10" s="1"/>
  <c r="AQ24" i="10"/>
  <c r="AT24" i="10" s="1"/>
  <c r="AP24" i="10"/>
  <c r="AX19" i="10"/>
  <c r="BA19" i="10" s="1"/>
  <c r="AW19" i="10"/>
  <c r="BA40" i="10"/>
  <c r="AZ40" i="10"/>
  <c r="AP42" i="10"/>
  <c r="AX42" i="10"/>
  <c r="AW42" i="10"/>
  <c r="AQ42" i="10"/>
  <c r="AP38" i="10"/>
  <c r="AX38" i="10"/>
  <c r="AW38" i="10"/>
  <c r="AQ38" i="10"/>
  <c r="AQ27" i="10"/>
  <c r="AT27" i="10" s="1"/>
  <c r="AP27" i="10"/>
  <c r="AX27" i="10"/>
  <c r="BA27" i="10" s="1"/>
  <c r="AW27" i="10"/>
  <c r="AQ23" i="10"/>
  <c r="AT23" i="10" s="1"/>
  <c r="AP23" i="10"/>
  <c r="AP18" i="10"/>
  <c r="AQ18" i="10"/>
  <c r="AT18" i="10" s="1"/>
  <c r="AW41" i="10"/>
  <c r="AP41" i="10"/>
  <c r="AX41" i="10"/>
  <c r="AQ41" i="10"/>
  <c r="BA41" i="10"/>
  <c r="AZ41" i="10"/>
  <c r="AQ35" i="10"/>
  <c r="AS35" i="10"/>
  <c r="AP35" i="10"/>
  <c r="AP34" i="10"/>
  <c r="AQ34" i="10"/>
  <c r="AT34" i="10" s="1"/>
  <c r="AQ33" i="10"/>
  <c r="AP33" i="10"/>
  <c r="AS33" i="10" s="1"/>
  <c r="AQ32" i="10"/>
  <c r="AT32" i="10" s="1"/>
  <c r="AP32" i="10"/>
  <c r="AQ31" i="10"/>
  <c r="AP31" i="10"/>
  <c r="AS31" i="10"/>
  <c r="AS30" i="10"/>
  <c r="AP30" i="10"/>
  <c r="AQ30" i="10"/>
  <c r="AX36" i="10"/>
  <c r="BA36" i="10" s="1"/>
  <c r="AW36" i="10"/>
  <c r="AX35" i="10"/>
  <c r="BA35" i="10"/>
  <c r="AW35" i="10"/>
  <c r="AT35" i="10"/>
  <c r="AX34" i="10"/>
  <c r="BA34" i="10" s="1"/>
  <c r="AW34" i="10"/>
  <c r="AW33" i="10"/>
  <c r="AX33" i="10"/>
  <c r="BA33" i="10" s="1"/>
  <c r="AT33" i="10"/>
  <c r="AW32" i="10"/>
  <c r="AX32" i="10"/>
  <c r="BA32" i="10" s="1"/>
  <c r="AT31" i="10"/>
  <c r="AX30" i="10"/>
  <c r="BA30" i="10" s="1"/>
  <c r="AW30" i="10"/>
  <c r="AT30" i="10"/>
  <c r="BD56" i="10"/>
  <c r="BO28" i="10"/>
  <c r="BO24" i="10"/>
  <c r="BN58" i="10"/>
  <c r="BD54" i="10"/>
  <c r="DF36" i="10"/>
  <c r="DF32" i="10"/>
  <c r="BD45" i="10"/>
  <c r="BE45" i="10"/>
  <c r="BE41" i="10"/>
  <c r="BH41" i="10" s="1"/>
  <c r="BD41" i="10"/>
  <c r="BE33" i="10"/>
  <c r="BH33" i="10" s="1"/>
  <c r="BD33" i="10"/>
  <c r="BE29" i="10"/>
  <c r="BH29" i="10" s="1"/>
  <c r="BD29" i="10"/>
  <c r="BE22" i="10"/>
  <c r="BH22" i="10" s="1"/>
  <c r="BD22" i="10"/>
  <c r="BO26" i="10"/>
  <c r="BO22" i="10"/>
  <c r="BD52" i="10"/>
  <c r="BD44" i="10"/>
  <c r="BE44" i="10"/>
  <c r="BH44" i="10" s="1"/>
  <c r="BD40" i="10"/>
  <c r="BE40" i="10"/>
  <c r="BH40" i="10" s="1"/>
  <c r="BE36" i="10"/>
  <c r="BH36" i="10" s="1"/>
  <c r="U36" i="10" s="1"/>
  <c r="BD36" i="10"/>
  <c r="BG36" i="10" s="1"/>
  <c r="BD32" i="10"/>
  <c r="BE32" i="10"/>
  <c r="BH32" i="10" s="1"/>
  <c r="BD17" i="10"/>
  <c r="BE17" i="10"/>
  <c r="BH17" i="10" s="1"/>
  <c r="BE20" i="10"/>
  <c r="BH20" i="10" s="1"/>
  <c r="BD20" i="10"/>
  <c r="BD39" i="10"/>
  <c r="BE39" i="10"/>
  <c r="BH39" i="10" s="1"/>
  <c r="BD35" i="10"/>
  <c r="BE35" i="10"/>
  <c r="BH35" i="10" s="1"/>
  <c r="U35" i="10" s="1"/>
  <c r="BD28" i="10"/>
  <c r="BE28" i="10"/>
  <c r="BH28" i="10" s="1"/>
  <c r="BD19" i="10"/>
  <c r="BE19" i="10"/>
  <c r="BH19" i="10" s="1"/>
  <c r="BE46" i="10"/>
  <c r="BD46" i="10"/>
  <c r="BE38" i="10"/>
  <c r="BH38" i="10" s="1"/>
  <c r="BD38" i="10"/>
  <c r="BE30" i="10"/>
  <c r="BH30" i="10" s="1"/>
  <c r="BD30" i="10"/>
  <c r="BG30" i="10" s="1"/>
  <c r="BD27" i="10"/>
  <c r="BE27" i="10"/>
  <c r="BH27" i="10" s="1"/>
  <c r="BE18" i="10"/>
  <c r="BH18" i="10" s="1"/>
  <c r="BD18" i="10"/>
  <c r="BO41" i="10"/>
  <c r="BO33" i="10"/>
  <c r="BO29" i="10"/>
  <c r="BO25" i="10"/>
  <c r="BO21" i="10"/>
  <c r="BD55" i="10"/>
  <c r="AP53" i="10"/>
  <c r="BO17" i="10"/>
  <c r="CD35" i="10"/>
  <c r="CI35" i="10" s="1"/>
  <c r="AR33" i="10"/>
  <c r="CD21" i="10"/>
  <c r="CI21" i="10" s="1"/>
  <c r="AP59" i="10"/>
  <c r="AP51" i="10"/>
  <c r="BO27" i="10"/>
  <c r="BO23" i="10"/>
  <c r="DF51" i="10"/>
  <c r="BJ58" i="10"/>
  <c r="DU27" i="10"/>
  <c r="AY44" i="10"/>
  <c r="CV21" i="10"/>
  <c r="CV39" i="10"/>
  <c r="CV41" i="10"/>
  <c r="CB41" i="10"/>
  <c r="BJ45" i="10"/>
  <c r="BK45" i="10" s="1"/>
  <c r="BL45" i="10"/>
  <c r="BJ43" i="10"/>
  <c r="BK43" i="10" s="1"/>
  <c r="BL43" i="10"/>
  <c r="BJ41" i="10"/>
  <c r="BK41" i="10" s="1"/>
  <c r="BL41" i="10"/>
  <c r="BJ39" i="10"/>
  <c r="BK39" i="10" s="1"/>
  <c r="BL39" i="10"/>
  <c r="BJ37" i="10"/>
  <c r="BK37" i="10" s="1"/>
  <c r="BL37" i="10"/>
  <c r="BJ35" i="10"/>
  <c r="BK35" i="10" s="1"/>
  <c r="BL35" i="10"/>
  <c r="BJ33" i="10"/>
  <c r="BK33" i="10" s="1"/>
  <c r="BL33" i="10"/>
  <c r="BJ31" i="10"/>
  <c r="BK31" i="10" s="1"/>
  <c r="BL31" i="10"/>
  <c r="BJ29" i="10"/>
  <c r="BK29" i="10" s="1"/>
  <c r="BL29" i="10"/>
  <c r="BJ27" i="10"/>
  <c r="BK27" i="10" s="1"/>
  <c r="BL27" i="10"/>
  <c r="BJ25" i="10"/>
  <c r="BK25" i="10" s="1"/>
  <c r="BL25" i="10"/>
  <c r="BJ23" i="10"/>
  <c r="BK23" i="10" s="1"/>
  <c r="BL23" i="10"/>
  <c r="BJ21" i="10"/>
  <c r="BK21" i="10" s="1"/>
  <c r="BL21" i="10"/>
  <c r="BJ19" i="10"/>
  <c r="BK19" i="10" s="1"/>
  <c r="BL19" i="10"/>
  <c r="BO60" i="10"/>
  <c r="BK60" i="10"/>
  <c r="AW60" i="10"/>
  <c r="BO59" i="10"/>
  <c r="BK59" i="10"/>
  <c r="AW59" i="10"/>
  <c r="BO58" i="10"/>
  <c r="BK58" i="10"/>
  <c r="AW58" i="10"/>
  <c r="BO57" i="10"/>
  <c r="BK57" i="10"/>
  <c r="AW57" i="10"/>
  <c r="BO56" i="10"/>
  <c r="BK56" i="10"/>
  <c r="AW56" i="10"/>
  <c r="BO55" i="10"/>
  <c r="BK55" i="10"/>
  <c r="AW55" i="10"/>
  <c r="BO54" i="10"/>
  <c r="BK54" i="10"/>
  <c r="AW54" i="10"/>
  <c r="BO53" i="10"/>
  <c r="BK53" i="10"/>
  <c r="AW53" i="10"/>
  <c r="BO52" i="10"/>
  <c r="BK52" i="10"/>
  <c r="AW52" i="10"/>
  <c r="BO51" i="10"/>
  <c r="BK51" i="10"/>
  <c r="AW51" i="10"/>
  <c r="CG51" i="10"/>
  <c r="CE51" i="10"/>
  <c r="CS17" i="10"/>
  <c r="CW17" i="10"/>
  <c r="CL17" i="10"/>
  <c r="CW30" i="10"/>
  <c r="CS30" i="10"/>
  <c r="CL30" i="10"/>
  <c r="CW28" i="10"/>
  <c r="CS28" i="10"/>
  <c r="CL28" i="10"/>
  <c r="CW24" i="10"/>
  <c r="CS24" i="10"/>
  <c r="CL24" i="10"/>
  <c r="CW22" i="10"/>
  <c r="CS22" i="10"/>
  <c r="CL22" i="10"/>
  <c r="CW20" i="10"/>
  <c r="CS20" i="10"/>
  <c r="CL20" i="10"/>
  <c r="CW18" i="10"/>
  <c r="CS18" i="10"/>
  <c r="CL18" i="10"/>
  <c r="CW45" i="10"/>
  <c r="CS45" i="10"/>
  <c r="CL45" i="10"/>
  <c r="CO45" i="10" s="1"/>
  <c r="CS43" i="10"/>
  <c r="CL43" i="10"/>
  <c r="CO43" i="10" s="1"/>
  <c r="CW43" i="10"/>
  <c r="CW41" i="10"/>
  <c r="CS41" i="10"/>
  <c r="CL41" i="10"/>
  <c r="CO41" i="10" s="1"/>
  <c r="CS39" i="10"/>
  <c r="CL39" i="10"/>
  <c r="CW39" i="10"/>
  <c r="CW37" i="10"/>
  <c r="CS37" i="10"/>
  <c r="CL37" i="10"/>
  <c r="CS35" i="10"/>
  <c r="CL35" i="10"/>
  <c r="CW35" i="10"/>
  <c r="CW33" i="10"/>
  <c r="CS33" i="10"/>
  <c r="CL33" i="10"/>
  <c r="DR17" i="10"/>
  <c r="DJ17" i="10"/>
  <c r="DV17" i="10"/>
  <c r="DN17" i="10"/>
  <c r="DV45" i="10"/>
  <c r="DN45" i="10"/>
  <c r="DR45" i="10"/>
  <c r="DJ45" i="10"/>
  <c r="DR43" i="10"/>
  <c r="DJ43" i="10"/>
  <c r="DV43" i="10"/>
  <c r="DN43" i="10"/>
  <c r="DV41" i="10"/>
  <c r="DN41" i="10"/>
  <c r="DR41" i="10"/>
  <c r="DJ41" i="10"/>
  <c r="DR39" i="10"/>
  <c r="DJ39" i="10"/>
  <c r="DV39" i="10"/>
  <c r="DN39" i="10"/>
  <c r="DV37" i="10"/>
  <c r="DN37" i="10"/>
  <c r="DR37" i="10"/>
  <c r="DJ37" i="10"/>
  <c r="DR35" i="10"/>
  <c r="DJ35" i="10"/>
  <c r="DV35" i="10"/>
  <c r="DN35" i="10"/>
  <c r="DV33" i="10"/>
  <c r="DN33" i="10"/>
  <c r="DR33" i="10"/>
  <c r="DJ33" i="10"/>
  <c r="DR31" i="10"/>
  <c r="DJ31" i="10"/>
  <c r="DV31" i="10"/>
  <c r="DN31" i="10"/>
  <c r="DV29" i="10"/>
  <c r="DN29" i="10"/>
  <c r="DR29" i="10"/>
  <c r="DJ29" i="10"/>
  <c r="DR27" i="10"/>
  <c r="DJ27" i="10"/>
  <c r="DV27" i="10"/>
  <c r="DN27" i="10"/>
  <c r="DV25" i="10"/>
  <c r="DN25" i="10"/>
  <c r="DR25" i="10"/>
  <c r="DJ25" i="10"/>
  <c r="DR23" i="10"/>
  <c r="DJ23" i="10"/>
  <c r="DV23" i="10"/>
  <c r="DN23" i="10"/>
  <c r="DV21" i="10"/>
  <c r="DN21" i="10"/>
  <c r="DR21" i="10"/>
  <c r="DJ21" i="10"/>
  <c r="DR19" i="10"/>
  <c r="DJ19" i="10"/>
  <c r="DV19" i="10"/>
  <c r="DN19" i="10"/>
  <c r="DR51" i="10"/>
  <c r="DJ51" i="10"/>
  <c r="DV51" i="10"/>
  <c r="DV61" i="10" s="1"/>
  <c r="DN51" i="10"/>
  <c r="DN61" i="10" s="1"/>
  <c r="CW25" i="10"/>
  <c r="CS25" i="10"/>
  <c r="CL25" i="10"/>
  <c r="AR43" i="10"/>
  <c r="BC51" i="10"/>
  <c r="CB23" i="10"/>
  <c r="CK39" i="10"/>
  <c r="CK21" i="10"/>
  <c r="DF45" i="10"/>
  <c r="DF43" i="10"/>
  <c r="DF41" i="10"/>
  <c r="DF39" i="10"/>
  <c r="DF37" i="10"/>
  <c r="DF35" i="10"/>
  <c r="DF33" i="10"/>
  <c r="DF29" i="10"/>
  <c r="DF27" i="10"/>
  <c r="DF23" i="10"/>
  <c r="BJ46" i="10"/>
  <c r="BK46" i="10" s="1"/>
  <c r="BJ44" i="10"/>
  <c r="BK44" i="10" s="1"/>
  <c r="BL44" i="10"/>
  <c r="BJ42" i="10"/>
  <c r="BK42" i="10" s="1"/>
  <c r="BL42" i="10"/>
  <c r="BJ40" i="10"/>
  <c r="BK40" i="10" s="1"/>
  <c r="BL40" i="10"/>
  <c r="BJ38" i="10"/>
  <c r="BK38" i="10" s="1"/>
  <c r="BL38" i="10"/>
  <c r="BJ36" i="10"/>
  <c r="BK36" i="10" s="1"/>
  <c r="BL36" i="10"/>
  <c r="BJ34" i="10"/>
  <c r="BK34" i="10" s="1"/>
  <c r="BL34" i="10"/>
  <c r="BJ32" i="10"/>
  <c r="BK32" i="10" s="1"/>
  <c r="BL32" i="10"/>
  <c r="BJ30" i="10"/>
  <c r="BK30" i="10" s="1"/>
  <c r="BL30" i="10"/>
  <c r="BJ26" i="10"/>
  <c r="BK26" i="10" s="1"/>
  <c r="BL26" i="10"/>
  <c r="BJ22" i="10"/>
  <c r="BK22" i="10" s="1"/>
  <c r="BL22" i="10"/>
  <c r="BJ18" i="10"/>
  <c r="BK18" i="10" s="1"/>
  <c r="BL18" i="10"/>
  <c r="BO44" i="10"/>
  <c r="BO42" i="10"/>
  <c r="BO38" i="10"/>
  <c r="BO36" i="10"/>
  <c r="BO34" i="10"/>
  <c r="BO30" i="10"/>
  <c r="BO20" i="10"/>
  <c r="BO18" i="10"/>
  <c r="AP52" i="10"/>
  <c r="CT51" i="10"/>
  <c r="CS51" i="10"/>
  <c r="CS31" i="10"/>
  <c r="CL31" i="10"/>
  <c r="CW31" i="10"/>
  <c r="CW29" i="10"/>
  <c r="CS29" i="10"/>
  <c r="CL29" i="10"/>
  <c r="CS27" i="10"/>
  <c r="CL27" i="10"/>
  <c r="CW27" i="10"/>
  <c r="CS23" i="10"/>
  <c r="CW23" i="10"/>
  <c r="CW21" i="10"/>
  <c r="CS21" i="10"/>
  <c r="CL21" i="10"/>
  <c r="CS19" i="10"/>
  <c r="CL19" i="10"/>
  <c r="CW19" i="10"/>
  <c r="CW46" i="10"/>
  <c r="CS46" i="10"/>
  <c r="CL46" i="10"/>
  <c r="CO46" i="10" s="1"/>
  <c r="CW44" i="10"/>
  <c r="CS44" i="10"/>
  <c r="CL44" i="10"/>
  <c r="CO44" i="10" s="1"/>
  <c r="CW42" i="10"/>
  <c r="CS42" i="10"/>
  <c r="CL42" i="10"/>
  <c r="CO42" i="10" s="1"/>
  <c r="CW40" i="10"/>
  <c r="CS40" i="10"/>
  <c r="CL40" i="10"/>
  <c r="CO40" i="10" s="1"/>
  <c r="CW38" i="10"/>
  <c r="CS38" i="10"/>
  <c r="CL38" i="10"/>
  <c r="CW36" i="10"/>
  <c r="CS36" i="10"/>
  <c r="CL36" i="10"/>
  <c r="CW34" i="10"/>
  <c r="CS34" i="10"/>
  <c r="CL34" i="10"/>
  <c r="CW32" i="10"/>
  <c r="CS32" i="10"/>
  <c r="CL32" i="10"/>
  <c r="DV46" i="10"/>
  <c r="DR46" i="10"/>
  <c r="DN46" i="10"/>
  <c r="DJ46" i="10"/>
  <c r="DV44" i="10"/>
  <c r="DR44" i="10"/>
  <c r="DN44" i="10"/>
  <c r="DJ44" i="10"/>
  <c r="DV42" i="10"/>
  <c r="DR42" i="10"/>
  <c r="DN42" i="10"/>
  <c r="DJ42" i="10"/>
  <c r="DV40" i="10"/>
  <c r="DR40" i="10"/>
  <c r="DN40" i="10"/>
  <c r="DJ40" i="10"/>
  <c r="DV38" i="10"/>
  <c r="DR38" i="10"/>
  <c r="DN38" i="10"/>
  <c r="DJ38" i="10"/>
  <c r="DV36" i="10"/>
  <c r="DR36" i="10"/>
  <c r="DN36" i="10"/>
  <c r="DJ36" i="10"/>
  <c r="DV34" i="10"/>
  <c r="DR34" i="10"/>
  <c r="DN34" i="10"/>
  <c r="DJ34" i="10"/>
  <c r="DV32" i="10"/>
  <c r="DR32" i="10"/>
  <c r="DN32" i="10"/>
  <c r="DJ32" i="10"/>
  <c r="DV30" i="10"/>
  <c r="DR30" i="10"/>
  <c r="DN30" i="10"/>
  <c r="DJ30" i="10"/>
  <c r="DV28" i="10"/>
  <c r="DR28" i="10"/>
  <c r="DN28" i="10"/>
  <c r="DJ28" i="10"/>
  <c r="DV26" i="10"/>
  <c r="DR26" i="10"/>
  <c r="DN26" i="10"/>
  <c r="DJ26" i="10"/>
  <c r="DV24" i="10"/>
  <c r="DR24" i="10"/>
  <c r="DN24" i="10"/>
  <c r="DJ24" i="10"/>
  <c r="DV22" i="10"/>
  <c r="DR22" i="10"/>
  <c r="DN22" i="10"/>
  <c r="DJ22" i="10"/>
  <c r="DV20" i="10"/>
  <c r="DR20" i="10"/>
  <c r="DN20" i="10"/>
  <c r="DJ20" i="10"/>
  <c r="DV18" i="10"/>
  <c r="DR18" i="10"/>
  <c r="DN18" i="10"/>
  <c r="DJ18" i="10"/>
  <c r="CW26" i="10"/>
  <c r="CS26" i="10"/>
  <c r="CL26" i="10"/>
  <c r="BP17" i="10"/>
  <c r="CD17" i="10"/>
  <c r="CI17" i="10" s="1"/>
  <c r="BJ52" i="10"/>
  <c r="DQ36" i="10"/>
  <c r="AY36" i="10"/>
  <c r="AY27" i="10"/>
  <c r="BP25" i="10"/>
  <c r="BP19" i="10"/>
  <c r="DM51" i="10"/>
  <c r="CR38" i="10"/>
  <c r="DM35" i="10"/>
  <c r="CV20" i="10"/>
  <c r="CX22" i="10"/>
  <c r="AR52" i="10"/>
  <c r="DW22" i="10"/>
  <c r="DI22" i="10"/>
  <c r="DU30" i="10"/>
  <c r="CV34" i="10"/>
  <c r="CR36" i="10"/>
  <c r="DQ43" i="10"/>
  <c r="DI38" i="10"/>
  <c r="AV55" i="10"/>
  <c r="BP34" i="10"/>
  <c r="BP30" i="10"/>
  <c r="AR26" i="10"/>
  <c r="AR18" i="10"/>
  <c r="AY43" i="10"/>
  <c r="CB36" i="10"/>
  <c r="DM43" i="10"/>
  <c r="DW38" i="10"/>
  <c r="CR18" i="10"/>
  <c r="CR30" i="10"/>
  <c r="AV52" i="10"/>
  <c r="CR28" i="10"/>
  <c r="CR20" i="10"/>
  <c r="DI29" i="10"/>
  <c r="AR17" i="10"/>
  <c r="BP39" i="10"/>
  <c r="BN56" i="10"/>
  <c r="BP54" i="10"/>
  <c r="BC58" i="10"/>
  <c r="AY56" i="10"/>
  <c r="CB29" i="10"/>
  <c r="CB19" i="10"/>
  <c r="DG43" i="10"/>
  <c r="BF36" i="10"/>
  <c r="CV18" i="10"/>
  <c r="CD26" i="10"/>
  <c r="DU26" i="10"/>
  <c r="DK51" i="10"/>
  <c r="DQ17" i="10"/>
  <c r="CR51" i="10"/>
  <c r="CR19" i="10"/>
  <c r="DQ31" i="10"/>
  <c r="DQ21" i="10"/>
  <c r="AV59" i="10"/>
  <c r="AV57" i="10"/>
  <c r="BJ54" i="10"/>
  <c r="BC59" i="10"/>
  <c r="CB30" i="10"/>
  <c r="CB18" i="10"/>
  <c r="DM17" i="10"/>
  <c r="DM31" i="10"/>
  <c r="DM19" i="10"/>
  <c r="DW30" i="10"/>
  <c r="DW42" i="10"/>
  <c r="DK46" i="10"/>
  <c r="E55" i="11"/>
  <c r="AM52" i="10"/>
  <c r="CV19" i="10"/>
  <c r="CD24" i="10"/>
  <c r="DI20" i="10"/>
  <c r="DU28" i="10"/>
  <c r="CD18" i="10"/>
  <c r="CI18" i="10" s="1"/>
  <c r="CD28" i="10"/>
  <c r="CV17" i="10"/>
  <c r="DU51" i="10"/>
  <c r="DU32" i="10"/>
  <c r="DU40" i="10"/>
  <c r="CR40" i="10"/>
  <c r="DI42" i="10"/>
  <c r="DI40" i="10"/>
  <c r="DQ37" i="10"/>
  <c r="DI34" i="10"/>
  <c r="DI32" i="10"/>
  <c r="DI30" i="10"/>
  <c r="DQ27" i="10"/>
  <c r="DQ19" i="10"/>
  <c r="CX43" i="10"/>
  <c r="AY17" i="10"/>
  <c r="AY32" i="10"/>
  <c r="AY30" i="10"/>
  <c r="AY42" i="10"/>
  <c r="AY38" i="10"/>
  <c r="BN57" i="10"/>
  <c r="BP60" i="10"/>
  <c r="BP53" i="10"/>
  <c r="CB27" i="10"/>
  <c r="CB21" i="10"/>
  <c r="CB39" i="10"/>
  <c r="CK46" i="10"/>
  <c r="CK22" i="10"/>
  <c r="DG18" i="10"/>
  <c r="DK18" i="10"/>
  <c r="DM37" i="10"/>
  <c r="DM33" i="10"/>
  <c r="DM45" i="10"/>
  <c r="DW34" i="10"/>
  <c r="DW18" i="10"/>
  <c r="DE40" i="10"/>
  <c r="DF40" i="10" s="1"/>
  <c r="BF44" i="10"/>
  <c r="BF20" i="10"/>
  <c r="CV24" i="10"/>
  <c r="DU33" i="10"/>
  <c r="CR25" i="10"/>
  <c r="CR23" i="10"/>
  <c r="DI41" i="10"/>
  <c r="DQ18" i="10"/>
  <c r="CX30" i="10"/>
  <c r="AR34" i="10"/>
  <c r="BP28" i="10"/>
  <c r="BP20" i="10"/>
  <c r="BP18" i="10"/>
  <c r="AY41" i="10"/>
  <c r="CB34" i="10"/>
  <c r="CB24" i="10"/>
  <c r="CB22" i="10"/>
  <c r="CK37" i="10"/>
  <c r="CP37" i="10" s="1"/>
  <c r="CK25" i="10"/>
  <c r="DM40" i="10"/>
  <c r="DM44" i="10"/>
  <c r="DW35" i="10"/>
  <c r="DW31" i="10"/>
  <c r="DW23" i="10"/>
  <c r="DW19" i="10"/>
  <c r="BJ60" i="10"/>
  <c r="BJ56" i="10"/>
  <c r="AV54" i="10"/>
  <c r="BC53" i="10"/>
  <c r="BN52" i="10"/>
  <c r="DG51" i="10"/>
  <c r="AR51" i="10"/>
  <c r="BN51" i="10"/>
  <c r="DU46" i="10"/>
  <c r="AY46" i="10"/>
  <c r="CK45" i="10"/>
  <c r="DQ44" i="10"/>
  <c r="BP44" i="10"/>
  <c r="CK43" i="10"/>
  <c r="DQ42" i="10"/>
  <c r="CV38" i="10"/>
  <c r="CB38" i="10"/>
  <c r="DU36" i="10"/>
  <c r="DI36" i="10"/>
  <c r="DG36" i="10"/>
  <c r="AR35" i="10"/>
  <c r="CK35" i="10"/>
  <c r="CP35" i="10" s="1"/>
  <c r="DQ34" i="10"/>
  <c r="CV33" i="10"/>
  <c r="AY33" i="10"/>
  <c r="CV31" i="10"/>
  <c r="DQ30" i="10"/>
  <c r="DM30" i="10"/>
  <c r="CD29" i="10"/>
  <c r="CR29" i="10"/>
  <c r="CV29" i="10"/>
  <c r="BP29" i="10"/>
  <c r="CK29" i="10"/>
  <c r="DI28" i="10"/>
  <c r="DK28" i="10"/>
  <c r="BP27" i="10"/>
  <c r="CV26" i="10"/>
  <c r="CB26" i="10"/>
  <c r="DK26" i="10"/>
  <c r="DU24" i="10"/>
  <c r="DQ24" i="10"/>
  <c r="BP23" i="10"/>
  <c r="AR23" i="10"/>
  <c r="CK23" i="10"/>
  <c r="DG22" i="10"/>
  <c r="CR21" i="10"/>
  <c r="CB20" i="10"/>
  <c r="AY19" i="10"/>
  <c r="CK19" i="10"/>
  <c r="BC60" i="10"/>
  <c r="BJ59" i="10"/>
  <c r="BN59" i="10"/>
  <c r="BJ57" i="10"/>
  <c r="BN55" i="10"/>
  <c r="BC54" i="10"/>
  <c r="AR53" i="10"/>
  <c r="CV45" i="10"/>
  <c r="DQ45" i="10"/>
  <c r="CD43" i="10"/>
  <c r="CV42" i="10"/>
  <c r="BP42" i="10"/>
  <c r="DM42" i="10"/>
  <c r="DU41" i="10"/>
  <c r="CR41" i="10"/>
  <c r="AY40" i="10"/>
  <c r="CR39" i="10"/>
  <c r="DQ38" i="10"/>
  <c r="DG38" i="10"/>
  <c r="BF38" i="10"/>
  <c r="CD37" i="10"/>
  <c r="CI37" i="10" s="1"/>
  <c r="CX37" i="10"/>
  <c r="BP36" i="10"/>
  <c r="DM36" i="10"/>
  <c r="BP35" i="10"/>
  <c r="AY34" i="10"/>
  <c r="DG34" i="10"/>
  <c r="BP33" i="10"/>
  <c r="BF33" i="10"/>
  <c r="CK32" i="10"/>
  <c r="DQ29" i="10"/>
  <c r="CV28" i="10"/>
  <c r="CB28" i="10"/>
  <c r="CR27" i="10"/>
  <c r="CX27" i="10"/>
  <c r="BF27" i="10"/>
  <c r="DI26" i="10"/>
  <c r="DQ26" i="10"/>
  <c r="BP26" i="10"/>
  <c r="CD25" i="10"/>
  <c r="CB25" i="10"/>
  <c r="DI24" i="10"/>
  <c r="BP24" i="10"/>
  <c r="DK24" i="10"/>
  <c r="DQ22" i="10"/>
  <c r="BP22" i="10"/>
  <c r="BP21" i="10"/>
  <c r="DU20" i="10"/>
  <c r="DK20" i="10"/>
  <c r="DI18" i="10"/>
  <c r="CK18" i="10"/>
  <c r="W60" i="10"/>
  <c r="X60" i="10"/>
  <c r="Z60" i="10" s="1"/>
  <c r="W59" i="10"/>
  <c r="X59" i="10"/>
  <c r="Z59" i="10" s="1"/>
  <c r="W58" i="10"/>
  <c r="X58" i="10"/>
  <c r="Z58" i="10" s="1"/>
  <c r="W57" i="10"/>
  <c r="X57" i="10"/>
  <c r="Z57" i="10" s="1"/>
  <c r="BJ55" i="10"/>
  <c r="W55" i="10"/>
  <c r="X55" i="10"/>
  <c r="Z55" i="10" s="1"/>
  <c r="BJ53" i="10"/>
  <c r="BJ51" i="10"/>
  <c r="BC52" i="10"/>
  <c r="DG46" i="10"/>
  <c r="DE46" i="10"/>
  <c r="DF46" i="10" s="1"/>
  <c r="DE44" i="10"/>
  <c r="DF44" i="10" s="1"/>
  <c r="DG44" i="10"/>
  <c r="DE42" i="10"/>
  <c r="DF42" i="10" s="1"/>
  <c r="DG42" i="10"/>
  <c r="DE31" i="10"/>
  <c r="DF31" i="10" s="1"/>
  <c r="DG31" i="10"/>
  <c r="DE19" i="10"/>
  <c r="DF19" i="10" s="1"/>
  <c r="DG19" i="10"/>
  <c r="AO40" i="10"/>
  <c r="AR40" i="10"/>
  <c r="AO20" i="10"/>
  <c r="AP20" i="10" s="1"/>
  <c r="AR20" i="10"/>
  <c r="BN46" i="10"/>
  <c r="BO46" i="10" s="1"/>
  <c r="BP46" i="10"/>
  <c r="BW46" i="10"/>
  <c r="BW17" i="10"/>
  <c r="CA17" i="10" s="1"/>
  <c r="CB17" i="10"/>
  <c r="AV45" i="10"/>
  <c r="AY45" i="10"/>
  <c r="AV39" i="10"/>
  <c r="AY39" i="10"/>
  <c r="AV37" i="10"/>
  <c r="AY37" i="10"/>
  <c r="BC45" i="10"/>
  <c r="BG45" i="10" s="1"/>
  <c r="BF45" i="10"/>
  <c r="BC43" i="10"/>
  <c r="BF43" i="10"/>
  <c r="DO34" i="10"/>
  <c r="DM34" i="10"/>
  <c r="DO26" i="10"/>
  <c r="DM26" i="10"/>
  <c r="CN51" i="10"/>
  <c r="CK51" i="10"/>
  <c r="CG32" i="10"/>
  <c r="CG42" i="10"/>
  <c r="CD20" i="10"/>
  <c r="CI20" i="10" s="1"/>
  <c r="CD22" i="10"/>
  <c r="CI22" i="10" s="1"/>
  <c r="CV23" i="10"/>
  <c r="CV25" i="10"/>
  <c r="DQ46" i="10"/>
  <c r="DU17" i="10"/>
  <c r="CD51" i="10"/>
  <c r="CD30" i="10"/>
  <c r="DU39" i="10"/>
  <c r="DU43" i="10"/>
  <c r="CD38" i="10"/>
  <c r="CD40" i="10"/>
  <c r="CD44" i="10"/>
  <c r="CD46" i="10"/>
  <c r="DQ39" i="10"/>
  <c r="DI33" i="10"/>
  <c r="AR32" i="10"/>
  <c r="AR30" i="10"/>
  <c r="AY29" i="10"/>
  <c r="AR28" i="10"/>
  <c r="AR24" i="10"/>
  <c r="AR22" i="10"/>
  <c r="BP38" i="10"/>
  <c r="AR38" i="10"/>
  <c r="CB44" i="10"/>
  <c r="DG29" i="10"/>
  <c r="DG27" i="10"/>
  <c r="DG23" i="10"/>
  <c r="DM22" i="10"/>
  <c r="AO41" i="10"/>
  <c r="AR41" i="10"/>
  <c r="AO37" i="10"/>
  <c r="BN31" i="10"/>
  <c r="BO31" i="10" s="1"/>
  <c r="BW45" i="10"/>
  <c r="CB45" i="10"/>
  <c r="AY53" i="10"/>
  <c r="AY51" i="10"/>
  <c r="BF46" i="10"/>
  <c r="BC46" i="10"/>
  <c r="BG46" i="10" s="1"/>
  <c r="BF41" i="10"/>
  <c r="BC24" i="10"/>
  <c r="BE24" i="10" s="1"/>
  <c r="BH24" i="10" s="1"/>
  <c r="BF24" i="10"/>
  <c r="BF56" i="10"/>
  <c r="BC56" i="10"/>
  <c r="CN42" i="10"/>
  <c r="CK42" i="10"/>
  <c r="CN34" i="10"/>
  <c r="CK34" i="10"/>
  <c r="DO41" i="10"/>
  <c r="DM41" i="10"/>
  <c r="DO39" i="10"/>
  <c r="DM39" i="10"/>
  <c r="B54" i="10"/>
  <c r="AM54" i="10" s="1"/>
  <c r="AM53" i="10"/>
  <c r="W54" i="10"/>
  <c r="X54" i="10"/>
  <c r="Z54" i="10" s="1"/>
  <c r="W53" i="10"/>
  <c r="X53" i="10"/>
  <c r="Z53" i="10" s="1"/>
  <c r="BF40" i="10"/>
  <c r="BC34" i="10"/>
  <c r="CT33" i="10"/>
  <c r="E49" i="11"/>
  <c r="CV46" i="10"/>
  <c r="CR46" i="10"/>
  <c r="AR46" i="10"/>
  <c r="CR45" i="10"/>
  <c r="DI45" i="10"/>
  <c r="AR45" i="10"/>
  <c r="DG45" i="10"/>
  <c r="DU44" i="10"/>
  <c r="CR44" i="10"/>
  <c r="DI44" i="10"/>
  <c r="CR43" i="10"/>
  <c r="BP43" i="10"/>
  <c r="CB43" i="10"/>
  <c r="AR42" i="10"/>
  <c r="BC42" i="10"/>
  <c r="BP41" i="10"/>
  <c r="DG41" i="10"/>
  <c r="CK40" i="10"/>
  <c r="BF39" i="10"/>
  <c r="CK38" i="10"/>
  <c r="DI37" i="10"/>
  <c r="CB37" i="10"/>
  <c r="CD36" i="10"/>
  <c r="CI36" i="10" s="1"/>
  <c r="CV35" i="10"/>
  <c r="CR35" i="10"/>
  <c r="DQ35" i="10"/>
  <c r="AY35" i="10"/>
  <c r="BF35" i="10"/>
  <c r="CD34" i="10"/>
  <c r="CR34" i="10"/>
  <c r="CR32" i="10"/>
  <c r="CB32" i="10"/>
  <c r="CB31" i="10"/>
  <c r="CK31" i="10"/>
  <c r="AV25" i="10"/>
  <c r="AW25" i="10" s="1"/>
  <c r="AY25" i="10"/>
  <c r="AV21" i="10"/>
  <c r="AX21" i="10" s="1"/>
  <c r="AY21" i="10"/>
  <c r="AO39" i="10"/>
  <c r="AR39" i="10"/>
  <c r="AO19" i="10"/>
  <c r="AQ19" i="10" s="1"/>
  <c r="AR19" i="10"/>
  <c r="CN41" i="10"/>
  <c r="CK41" i="10"/>
  <c r="CT42" i="10"/>
  <c r="CR42" i="10"/>
  <c r="DO46" i="10"/>
  <c r="DM46" i="10"/>
  <c r="CG19" i="10"/>
  <c r="CD19" i="10"/>
  <c r="CI19" i="10" s="1"/>
  <c r="CG31" i="10"/>
  <c r="CD31" i="10"/>
  <c r="CG27" i="10"/>
  <c r="CD27" i="10"/>
  <c r="CG45" i="10"/>
  <c r="CD45" i="10"/>
  <c r="AR31" i="10"/>
  <c r="AR27" i="10"/>
  <c r="CX44" i="10"/>
  <c r="CV44" i="10"/>
  <c r="CX40" i="10"/>
  <c r="CV40" i="10"/>
  <c r="CV36" i="10"/>
  <c r="CX36" i="10"/>
  <c r="CV32" i="10"/>
  <c r="CX32" i="10"/>
  <c r="AO44" i="10"/>
  <c r="AR44" i="10"/>
  <c r="AO36" i="10"/>
  <c r="AR36" i="10"/>
  <c r="BN45" i="10"/>
  <c r="BO45" i="10" s="1"/>
  <c r="BP45" i="10"/>
  <c r="BN37" i="10"/>
  <c r="BO37" i="10" s="1"/>
  <c r="BP37" i="10"/>
  <c r="BW40" i="10"/>
  <c r="CB40" i="10"/>
  <c r="CN44" i="10"/>
  <c r="CK44" i="10"/>
  <c r="DO32" i="10"/>
  <c r="DM32" i="10"/>
  <c r="DO28" i="10"/>
  <c r="DM28" i="10"/>
  <c r="DO24" i="10"/>
  <c r="DM24" i="10"/>
  <c r="DO20" i="10"/>
  <c r="DM20" i="10"/>
  <c r="DS33" i="10"/>
  <c r="DQ33" i="10"/>
  <c r="BN40" i="10"/>
  <c r="BO40" i="10" s="1"/>
  <c r="BP40" i="10"/>
  <c r="BN32" i="10"/>
  <c r="BO32" i="10" s="1"/>
  <c r="BP32" i="10"/>
  <c r="CD23" i="10"/>
  <c r="CD39" i="10"/>
  <c r="DE25" i="10"/>
  <c r="DF25" i="10" s="1"/>
  <c r="DG25" i="10"/>
  <c r="DE21" i="10"/>
  <c r="DF21" i="10" s="1"/>
  <c r="DG21" i="10"/>
  <c r="DE17" i="10"/>
  <c r="DF17" i="10" s="1"/>
  <c r="DG17" i="10"/>
  <c r="DK43" i="10"/>
  <c r="DI43" i="10"/>
  <c r="DK39" i="10"/>
  <c r="DI39" i="10"/>
  <c r="DK35" i="10"/>
  <c r="DI35" i="10"/>
  <c r="DK27" i="10"/>
  <c r="DI27" i="10"/>
  <c r="DI23" i="10"/>
  <c r="DW45" i="10"/>
  <c r="DU45" i="10"/>
  <c r="DW37" i="10"/>
  <c r="DU37" i="10"/>
  <c r="DW29" i="10"/>
  <c r="DU25" i="10"/>
  <c r="DW25" i="10"/>
  <c r="DU21" i="10"/>
  <c r="DW21" i="10"/>
  <c r="BW42" i="10"/>
  <c r="CB42" i="10"/>
  <c r="CV51" i="10"/>
  <c r="CX51" i="10"/>
  <c r="W56" i="10"/>
  <c r="AV31" i="10"/>
  <c r="AY31" i="10"/>
  <c r="BC37" i="10"/>
  <c r="BF37" i="10"/>
  <c r="BC31" i="10"/>
  <c r="BF31" i="10"/>
  <c r="BC23" i="10"/>
  <c r="BD23" i="10" s="1"/>
  <c r="BF23" i="10"/>
  <c r="BF55" i="10"/>
  <c r="BC55" i="10"/>
  <c r="CN33" i="10"/>
  <c r="CK33" i="10"/>
  <c r="CT31" i="10"/>
  <c r="CR31" i="10"/>
  <c r="DO38" i="10"/>
  <c r="DM38" i="10"/>
  <c r="BW35" i="10"/>
  <c r="BX35" i="10" s="1"/>
  <c r="CB35" i="10"/>
  <c r="BW33" i="10"/>
  <c r="CB33" i="10"/>
  <c r="CN36" i="10"/>
  <c r="CK36" i="10"/>
  <c r="CP36" i="10" s="1"/>
  <c r="CT37" i="10"/>
  <c r="CR37" i="10"/>
  <c r="DS41" i="10"/>
  <c r="DQ41" i="10"/>
  <c r="DG32" i="10"/>
  <c r="DK22" i="10"/>
  <c r="DW28" i="10"/>
  <c r="DW24" i="10"/>
  <c r="DW20" i="10"/>
  <c r="BC25" i="10"/>
  <c r="BE25" i="10" s="1"/>
  <c r="BH25" i="10" s="1"/>
  <c r="BF25" i="10"/>
  <c r="B20" i="10"/>
  <c r="AM19" i="10"/>
  <c r="BU19" i="10" s="1"/>
  <c r="DG39" i="10"/>
  <c r="DG35" i="10"/>
  <c r="DK17" i="10"/>
  <c r="DK25" i="10"/>
  <c r="DK21" i="10"/>
  <c r="DG37" i="10"/>
  <c r="DG33" i="10"/>
  <c r="DK23" i="10"/>
  <c r="DK19" i="10"/>
  <c r="E45" i="11"/>
  <c r="E52" i="11"/>
  <c r="BF28" i="10"/>
  <c r="G39" i="11"/>
  <c r="AO60" i="10"/>
  <c r="AP60" i="10" s="1"/>
  <c r="BF32" i="10"/>
  <c r="CE16" i="10"/>
  <c r="CL16" i="10" s="1"/>
  <c r="CS16" i="10" s="1"/>
  <c r="CW16" i="10" s="1"/>
  <c r="DO25" i="10"/>
  <c r="CN26" i="10"/>
  <c r="BF29" i="10"/>
  <c r="DO29" i="10"/>
  <c r="CN30" i="10"/>
  <c r="CT24" i="10"/>
  <c r="BC21" i="10"/>
  <c r="BE21" i="10" s="1"/>
  <c r="BH21" i="10" s="1"/>
  <c r="H44" i="11"/>
  <c r="G43" i="11"/>
  <c r="E41" i="11"/>
  <c r="G40" i="11"/>
  <c r="E56" i="11"/>
  <c r="E53" i="11"/>
  <c r="G36" i="11"/>
  <c r="G44" i="11"/>
  <c r="E42" i="11"/>
  <c r="E39" i="11"/>
  <c r="E47" i="11"/>
  <c r="E57" i="11"/>
  <c r="E46" i="11"/>
  <c r="E43" i="11"/>
  <c r="G41" i="11"/>
  <c r="E51" i="11"/>
  <c r="E48" i="11"/>
  <c r="E44" i="11"/>
  <c r="G42" i="11"/>
  <c r="E40" i="11"/>
  <c r="G56" i="11"/>
  <c r="E54" i="11"/>
  <c r="E50" i="11"/>
  <c r="H34" i="11"/>
  <c r="E36" i="12"/>
  <c r="BC57" i="10"/>
  <c r="AO57" i="10"/>
  <c r="AP57" i="10" s="1"/>
  <c r="AH79" i="10"/>
  <c r="AR59" i="10"/>
  <c r="AO56" i="10"/>
  <c r="AP56" i="10" s="1"/>
  <c r="AR56" i="10"/>
  <c r="AO55" i="10"/>
  <c r="AP55" i="10" s="1"/>
  <c r="W52" i="10"/>
  <c r="DS51" i="10"/>
  <c r="BW51" i="10"/>
  <c r="BX51" i="10" s="1"/>
  <c r="W51" i="10"/>
  <c r="DG30" i="10"/>
  <c r="DG26" i="10"/>
  <c r="DK30" i="10"/>
  <c r="BC26" i="10"/>
  <c r="BE26" i="10" s="1"/>
  <c r="BH26" i="10" s="1"/>
  <c r="CT26" i="10"/>
  <c r="BF30" i="10"/>
  <c r="CN28" i="10"/>
  <c r="DO27" i="10"/>
  <c r="DS25" i="10"/>
  <c r="BF22" i="10"/>
  <c r="BF18" i="10"/>
  <c r="CN24" i="10"/>
  <c r="CT22" i="10"/>
  <c r="DO23" i="10"/>
  <c r="DS23" i="10"/>
  <c r="CN20" i="10"/>
  <c r="AV23" i="10"/>
  <c r="AX23" i="10" s="1"/>
  <c r="BF19" i="10"/>
  <c r="DO21" i="10"/>
  <c r="G34" i="11"/>
  <c r="F35" i="11"/>
  <c r="F49" i="12"/>
  <c r="F44" i="11"/>
  <c r="F43" i="11"/>
  <c r="F42" i="11"/>
  <c r="F41" i="11"/>
  <c r="F40" i="11"/>
  <c r="F39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57" i="11"/>
  <c r="E48" i="12"/>
  <c r="F54" i="12"/>
  <c r="G55" i="12"/>
  <c r="H43" i="11"/>
  <c r="H42" i="11"/>
  <c r="H41" i="11"/>
  <c r="H40" i="11"/>
  <c r="H39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57" i="11"/>
  <c r="E39" i="12"/>
  <c r="G55" i="11"/>
  <c r="G54" i="11"/>
  <c r="G53" i="11"/>
  <c r="G52" i="11"/>
  <c r="G51" i="11"/>
  <c r="G50" i="11"/>
  <c r="G49" i="11"/>
  <c r="G48" i="11"/>
  <c r="G47" i="11"/>
  <c r="G46" i="11"/>
  <c r="G45" i="11"/>
  <c r="G57" i="11"/>
  <c r="H36" i="11"/>
  <c r="H37" i="11"/>
  <c r="AI59" i="10"/>
  <c r="AO58" i="10"/>
  <c r="AP58" i="10" s="1"/>
  <c r="AO54" i="10"/>
  <c r="AP54" i="10" s="1"/>
  <c r="DE28" i="10"/>
  <c r="DF28" i="10" s="1"/>
  <c r="DE24" i="10"/>
  <c r="DF24" i="10" s="1"/>
  <c r="DE20" i="10"/>
  <c r="DF20" i="10" s="1"/>
  <c r="AV28" i="10"/>
  <c r="AW28" i="10" s="1"/>
  <c r="AV26" i="10"/>
  <c r="AX26" i="10" s="1"/>
  <c r="AV24" i="10"/>
  <c r="AW24" i="10" s="1"/>
  <c r="AV22" i="10"/>
  <c r="AX22" i="10" s="1"/>
  <c r="AV20" i="10"/>
  <c r="AX20" i="10" s="1"/>
  <c r="AV18" i="10"/>
  <c r="AW18" i="10" s="1"/>
  <c r="AO29" i="10"/>
  <c r="AP29" i="10" s="1"/>
  <c r="AO25" i="10"/>
  <c r="AQ25" i="10" s="1"/>
  <c r="AO21" i="10"/>
  <c r="AP21" i="10" s="1"/>
  <c r="BJ28" i="10"/>
  <c r="BK28" i="10" s="1"/>
  <c r="BJ24" i="10"/>
  <c r="BK24" i="10" s="1"/>
  <c r="BJ20" i="10"/>
  <c r="BK20" i="10" s="1"/>
  <c r="CT27" i="10"/>
  <c r="CT23" i="10"/>
  <c r="DS28" i="10"/>
  <c r="DS20" i="10"/>
  <c r="DS18" i="10"/>
  <c r="CN27" i="10"/>
  <c r="CN23" i="10"/>
  <c r="DO18" i="10"/>
  <c r="BJ17" i="10"/>
  <c r="BK17" i="10" s="1"/>
  <c r="CN17" i="10"/>
  <c r="CT17" i="10"/>
  <c r="BF17" i="10"/>
  <c r="F38" i="12"/>
  <c r="G39" i="12"/>
  <c r="AH61" i="10"/>
  <c r="AH80" i="10" s="1"/>
  <c r="G32" i="11"/>
  <c r="E55" i="12"/>
  <c r="G33" i="12"/>
  <c r="E31" i="12"/>
  <c r="G33" i="11"/>
  <c r="H50" i="12"/>
  <c r="H28" i="11"/>
  <c r="F30" i="12"/>
  <c r="H37" i="12"/>
  <c r="G29" i="12"/>
  <c r="H31" i="11"/>
  <c r="F36" i="11"/>
  <c r="G28" i="11"/>
  <c r="G34" i="12"/>
  <c r="E53" i="12"/>
  <c r="G30" i="11"/>
  <c r="G56" i="12"/>
  <c r="AG47" i="10"/>
  <c r="AG79" i="10" s="1"/>
  <c r="G35" i="11"/>
  <c r="F34" i="11"/>
  <c r="G37" i="11"/>
  <c r="F40" i="12"/>
  <c r="H43" i="12"/>
  <c r="G44" i="12"/>
  <c r="E46" i="12"/>
  <c r="H52" i="12"/>
  <c r="G53" i="12"/>
  <c r="H57" i="12"/>
  <c r="H28" i="12"/>
  <c r="E35" i="12"/>
  <c r="AG61" i="10"/>
  <c r="AG80" i="10" s="1"/>
  <c r="H35" i="11"/>
  <c r="H33" i="11"/>
  <c r="H32" i="11"/>
  <c r="G38" i="11"/>
  <c r="G31" i="11"/>
  <c r="H41" i="12"/>
  <c r="G42" i="12"/>
  <c r="F51" i="12"/>
  <c r="F56" i="12"/>
  <c r="G35" i="12"/>
  <c r="E29" i="12"/>
  <c r="F35" i="12"/>
  <c r="H55" i="12"/>
  <c r="E30" i="11"/>
  <c r="E37" i="11"/>
  <c r="E29" i="11"/>
  <c r="E31" i="11"/>
  <c r="E28" i="11"/>
  <c r="E32" i="11"/>
  <c r="E36" i="11"/>
  <c r="E34" i="11"/>
  <c r="E33" i="11"/>
  <c r="E38" i="11"/>
  <c r="H38" i="11"/>
  <c r="H29" i="11"/>
  <c r="G29" i="11"/>
  <c r="E35" i="11"/>
  <c r="F29" i="11"/>
  <c r="F31" i="11"/>
  <c r="F28" i="11"/>
  <c r="F32" i="11"/>
  <c r="F30" i="11"/>
  <c r="F37" i="11"/>
  <c r="F38" i="11"/>
  <c r="F33" i="11"/>
  <c r="E38" i="12"/>
  <c r="E40" i="12"/>
  <c r="F41" i="12"/>
  <c r="H42" i="12"/>
  <c r="F43" i="12"/>
  <c r="H44" i="12"/>
  <c r="E45" i="12"/>
  <c r="G45" i="12"/>
  <c r="F46" i="12"/>
  <c r="E47" i="12"/>
  <c r="G47" i="12"/>
  <c r="F48" i="12"/>
  <c r="H49" i="12"/>
  <c r="G50" i="12"/>
  <c r="H51" i="12"/>
  <c r="G52" i="12"/>
  <c r="E54" i="12"/>
  <c r="E56" i="12"/>
  <c r="F57" i="12"/>
  <c r="E28" i="12"/>
  <c r="E37" i="12"/>
  <c r="G37" i="12"/>
  <c r="H36" i="12"/>
  <c r="H35" i="12"/>
  <c r="F34" i="12"/>
  <c r="H33" i="12"/>
  <c r="H32" i="12"/>
  <c r="G31" i="12"/>
  <c r="G30" i="12"/>
  <c r="H29" i="12"/>
  <c r="H30" i="11"/>
  <c r="H38" i="12"/>
  <c r="F39" i="12"/>
  <c r="H40" i="12"/>
  <c r="E41" i="12"/>
  <c r="G41" i="12"/>
  <c r="F42" i="12"/>
  <c r="E43" i="12"/>
  <c r="G43" i="12"/>
  <c r="F44" i="12"/>
  <c r="H45" i="12"/>
  <c r="G46" i="12"/>
  <c r="H47" i="12"/>
  <c r="G48" i="12"/>
  <c r="E50" i="12"/>
  <c r="E52" i="12"/>
  <c r="F53" i="12"/>
  <c r="H54" i="12"/>
  <c r="F55" i="12"/>
  <c r="H56" i="12"/>
  <c r="E57" i="12"/>
  <c r="G57" i="12"/>
  <c r="F28" i="12"/>
  <c r="F37" i="12"/>
  <c r="G36" i="12"/>
  <c r="H34" i="12"/>
  <c r="G32" i="12"/>
  <c r="F29" i="12"/>
  <c r="G38" i="12"/>
  <c r="H39" i="12"/>
  <c r="G40" i="12"/>
  <c r="E42" i="12"/>
  <c r="E44" i="12"/>
  <c r="F45" i="12"/>
  <c r="H46" i="12"/>
  <c r="F47" i="12"/>
  <c r="H48" i="12"/>
  <c r="E49" i="12"/>
  <c r="G49" i="12"/>
  <c r="F50" i="12"/>
  <c r="E51" i="12"/>
  <c r="G51" i="12"/>
  <c r="F52" i="12"/>
  <c r="H53" i="12"/>
  <c r="G54" i="12"/>
  <c r="G28" i="12"/>
  <c r="F36" i="12"/>
  <c r="E33" i="12"/>
  <c r="H30" i="12"/>
  <c r="E34" i="12"/>
  <c r="F33" i="12"/>
  <c r="E30" i="12"/>
  <c r="E32" i="12"/>
  <c r="F31" i="12"/>
  <c r="F32" i="12"/>
  <c r="H31" i="12"/>
  <c r="AS24" i="10" l="1"/>
  <c r="AS23" i="10"/>
  <c r="AS17" i="10"/>
  <c r="BG35" i="10"/>
  <c r="T36" i="10"/>
  <c r="AZ35" i="10"/>
  <c r="T35" i="10" s="1"/>
  <c r="AZ33" i="10"/>
  <c r="AZ27" i="10"/>
  <c r="CM35" i="10"/>
  <c r="BY35" i="10"/>
  <c r="CE36" i="10"/>
  <c r="CH36" i="10" s="1"/>
  <c r="CE35" i="10"/>
  <c r="CH35" i="10" s="1"/>
  <c r="CF36" i="10"/>
  <c r="CF35" i="10"/>
  <c r="CM36" i="10"/>
  <c r="CM21" i="10"/>
  <c r="CP21" i="10"/>
  <c r="CM18" i="10"/>
  <c r="CP18" i="10"/>
  <c r="CM22" i="10"/>
  <c r="CP22" i="10"/>
  <c r="CM19" i="10"/>
  <c r="CP19" i="10"/>
  <c r="BZ34" i="10"/>
  <c r="BZ32" i="10"/>
  <c r="BZ30" i="10"/>
  <c r="BZ28" i="10"/>
  <c r="BZ27" i="10"/>
  <c r="BZ26" i="10"/>
  <c r="BZ24" i="10"/>
  <c r="BZ23" i="10"/>
  <c r="CM34" i="10"/>
  <c r="CP34" i="10" s="1"/>
  <c r="CO34" i="10" s="1"/>
  <c r="CM33" i="10"/>
  <c r="CP33" i="10" s="1"/>
  <c r="CO33" i="10" s="1"/>
  <c r="CM32" i="10"/>
  <c r="CP32" i="10" s="1"/>
  <c r="CM31" i="10"/>
  <c r="CP31" i="10"/>
  <c r="CO31" i="10" s="1"/>
  <c r="CM29" i="10"/>
  <c r="CP29" i="10" s="1"/>
  <c r="CO29" i="10" s="1"/>
  <c r="CM25" i="10"/>
  <c r="CP25" i="10" s="1"/>
  <c r="CO25" i="10" s="1"/>
  <c r="CM23" i="10"/>
  <c r="CP23" i="10" s="1"/>
  <c r="CO39" i="10"/>
  <c r="CO38" i="10"/>
  <c r="CO37" i="10"/>
  <c r="CO36" i="10"/>
  <c r="BZ35" i="10"/>
  <c r="CA35" i="10"/>
  <c r="CO35" i="10"/>
  <c r="BY33" i="10"/>
  <c r="CA33" i="10"/>
  <c r="U17" i="10"/>
  <c r="AS22" i="10"/>
  <c r="CO17" i="10"/>
  <c r="BZ17" i="10"/>
  <c r="BY17" i="10"/>
  <c r="BX17" i="10"/>
  <c r="CF17" i="10"/>
  <c r="CE17" i="10"/>
  <c r="CF34" i="10"/>
  <c r="CI34" i="10" s="1"/>
  <c r="CE34" i="10"/>
  <c r="BX33" i="10"/>
  <c r="BZ33" i="10" s="1"/>
  <c r="CF31" i="10"/>
  <c r="CI31" i="10" s="1"/>
  <c r="CE31" i="10"/>
  <c r="CO30" i="10"/>
  <c r="CE30" i="10"/>
  <c r="CF30" i="10"/>
  <c r="CI30" i="10" s="1"/>
  <c r="CE29" i="10"/>
  <c r="CF29" i="10"/>
  <c r="CI29" i="10" s="1"/>
  <c r="CF28" i="10"/>
  <c r="CI28" i="10" s="1"/>
  <c r="CE28" i="10"/>
  <c r="CO28" i="10"/>
  <c r="CF27" i="10"/>
  <c r="CI27" i="10" s="1"/>
  <c r="CE27" i="10"/>
  <c r="CO27" i="10"/>
  <c r="CE26" i="10"/>
  <c r="CF26" i="10"/>
  <c r="CI26" i="10" s="1"/>
  <c r="CO26" i="10"/>
  <c r="CE25" i="10"/>
  <c r="CF25" i="10"/>
  <c r="CI25" i="10" s="1"/>
  <c r="CO24" i="10"/>
  <c r="CF24" i="10"/>
  <c r="CI24" i="10" s="1"/>
  <c r="CE24" i="10"/>
  <c r="CF23" i="10"/>
  <c r="CI23" i="10" s="1"/>
  <c r="CE23" i="10"/>
  <c r="CO22" i="10"/>
  <c r="CF22" i="10"/>
  <c r="CE22" i="10"/>
  <c r="CO21" i="10"/>
  <c r="CF21" i="10"/>
  <c r="CE21" i="10"/>
  <c r="CO20" i="10"/>
  <c r="CF20" i="10"/>
  <c r="CE20" i="10"/>
  <c r="CF19" i="10"/>
  <c r="CE19" i="10"/>
  <c r="CO19" i="10"/>
  <c r="CF18" i="10"/>
  <c r="CE18" i="10"/>
  <c r="CO18" i="10"/>
  <c r="BA45" i="10"/>
  <c r="AZ45" i="10"/>
  <c r="AT44" i="10"/>
  <c r="AS44" i="10"/>
  <c r="BE43" i="10"/>
  <c r="BH43" i="10" s="1"/>
  <c r="BG43" i="10"/>
  <c r="AS27" i="10"/>
  <c r="AS26" i="10"/>
  <c r="AS18" i="10"/>
  <c r="AZ19" i="10"/>
  <c r="BG32" i="10"/>
  <c r="AS34" i="10"/>
  <c r="AS32" i="10"/>
  <c r="AZ34" i="10"/>
  <c r="AZ30" i="10"/>
  <c r="BG33" i="10"/>
  <c r="AZ17" i="10"/>
  <c r="AQ20" i="10"/>
  <c r="AT20" i="10" s="1"/>
  <c r="AS20" i="10" s="1"/>
  <c r="AX25" i="10"/>
  <c r="BA25" i="10" s="1"/>
  <c r="AX18" i="10"/>
  <c r="BA18" i="10" s="1"/>
  <c r="U18" i="10" s="1"/>
  <c r="AX24" i="10"/>
  <c r="BA24" i="10" s="1"/>
  <c r="AX28" i="10"/>
  <c r="BA28" i="10" s="1"/>
  <c r="AQ29" i="10"/>
  <c r="AW21" i="10"/>
  <c r="AW26" i="10"/>
  <c r="AW20" i="10"/>
  <c r="AP25" i="10"/>
  <c r="AS25" i="10" s="1"/>
  <c r="AW22" i="10"/>
  <c r="AW23" i="10"/>
  <c r="AP19" i="10"/>
  <c r="AQ21" i="10"/>
  <c r="AT21" i="10" s="1"/>
  <c r="AS21" i="10" s="1"/>
  <c r="BA21" i="10"/>
  <c r="AT25" i="10"/>
  <c r="BA22" i="10"/>
  <c r="U22" i="10" s="1"/>
  <c r="AS40" i="10"/>
  <c r="AT40" i="10"/>
  <c r="BA20" i="10"/>
  <c r="AS29" i="10"/>
  <c r="AT29" i="10"/>
  <c r="AT39" i="10"/>
  <c r="AS39" i="10"/>
  <c r="BD42" i="10"/>
  <c r="BG42" i="10"/>
  <c r="BA39" i="10"/>
  <c r="AZ39" i="10"/>
  <c r="AT19" i="10"/>
  <c r="U19" i="10" s="1"/>
  <c r="BA26" i="10"/>
  <c r="BA23" i="10"/>
  <c r="AT41" i="10"/>
  <c r="AS41" i="10"/>
  <c r="AQ37" i="10"/>
  <c r="AP37" i="10"/>
  <c r="AS37" i="10" s="1"/>
  <c r="AS36" i="10"/>
  <c r="AQ36" i="10"/>
  <c r="AP36" i="10"/>
  <c r="AZ36" i="10"/>
  <c r="AZ32" i="10"/>
  <c r="AW37" i="10"/>
  <c r="AZ37" i="10" s="1"/>
  <c r="AX37" i="10"/>
  <c r="BA37" i="10" s="1"/>
  <c r="BE37" i="10"/>
  <c r="BH37" i="10" s="1"/>
  <c r="BG37" i="10"/>
  <c r="AT37" i="10"/>
  <c r="AT36" i="10"/>
  <c r="BD34" i="10"/>
  <c r="BE31" i="10"/>
  <c r="BH31" i="10" s="1"/>
  <c r="AX31" i="10"/>
  <c r="BA31" i="10" s="1"/>
  <c r="AZ31" i="10" s="1"/>
  <c r="AW31" i="10"/>
  <c r="BG19" i="10"/>
  <c r="BG29" i="10"/>
  <c r="X41" i="10"/>
  <c r="W41" i="10"/>
  <c r="BG28" i="10"/>
  <c r="BE42" i="10"/>
  <c r="BH42" i="10" s="1"/>
  <c r="BD43" i="10"/>
  <c r="V36" i="10"/>
  <c r="Z36" i="10" s="1"/>
  <c r="BG18" i="10"/>
  <c r="BG20" i="10"/>
  <c r="BG27" i="10"/>
  <c r="BE34" i="10"/>
  <c r="BH34" i="10" s="1"/>
  <c r="BD24" i="10"/>
  <c r="BG24" i="10" s="1"/>
  <c r="BD31" i="10"/>
  <c r="V39" i="10"/>
  <c r="Z39" i="10" s="1"/>
  <c r="BG17" i="10"/>
  <c r="T17" i="10" s="1"/>
  <c r="BG22" i="10"/>
  <c r="BD26" i="10"/>
  <c r="BG26" i="10" s="1"/>
  <c r="BE23" i="10"/>
  <c r="BH23" i="10" s="1"/>
  <c r="V38" i="10"/>
  <c r="Z38" i="10" s="1"/>
  <c r="BD25" i="10"/>
  <c r="BG25" i="10" s="1"/>
  <c r="BD21" i="10"/>
  <c r="BG21" i="10" s="1"/>
  <c r="BD37" i="10"/>
  <c r="BD61" i="10"/>
  <c r="V76" i="10" s="1"/>
  <c r="DR61" i="10"/>
  <c r="Y86" i="10" s="1"/>
  <c r="Z86" i="10" s="1"/>
  <c r="B55" i="10"/>
  <c r="AM55" i="10" s="1"/>
  <c r="DJ61" i="10"/>
  <c r="V87" i="10" s="1"/>
  <c r="W87" i="10" s="1"/>
  <c r="DF61" i="10"/>
  <c r="V86" i="10" s="1"/>
  <c r="W86" i="10" s="1"/>
  <c r="I33" i="11"/>
  <c r="I49" i="12"/>
  <c r="I29" i="12"/>
  <c r="T52" i="10" s="1"/>
  <c r="T132" i="10" s="1"/>
  <c r="I35" i="12"/>
  <c r="T58" i="10" s="1"/>
  <c r="T138" i="10" s="1"/>
  <c r="I47" i="11"/>
  <c r="T115" i="10" s="1"/>
  <c r="I49" i="11"/>
  <c r="T117" i="10" s="1"/>
  <c r="I31" i="12"/>
  <c r="T54" i="10" s="1"/>
  <c r="T134" i="10" s="1"/>
  <c r="I41" i="11"/>
  <c r="I51" i="12"/>
  <c r="I44" i="12"/>
  <c r="I57" i="12"/>
  <c r="I50" i="12"/>
  <c r="I41" i="12"/>
  <c r="I37" i="12"/>
  <c r="T60" i="10" s="1"/>
  <c r="T140" i="10" s="1"/>
  <c r="I54" i="12"/>
  <c r="I45" i="12"/>
  <c r="I38" i="12"/>
  <c r="I32" i="12"/>
  <c r="T55" i="10" s="1"/>
  <c r="T135" i="10" s="1"/>
  <c r="I28" i="11"/>
  <c r="I29" i="11"/>
  <c r="I30" i="11"/>
  <c r="I55" i="12"/>
  <c r="I39" i="12"/>
  <c r="I36" i="12"/>
  <c r="T59" i="10" s="1"/>
  <c r="T139" i="10" s="1"/>
  <c r="I50" i="11"/>
  <c r="T118" i="10" s="1"/>
  <c r="I48" i="11"/>
  <c r="I46" i="11"/>
  <c r="I42" i="11"/>
  <c r="I56" i="11"/>
  <c r="T124" i="10" s="1"/>
  <c r="I52" i="11"/>
  <c r="T120" i="10" s="1"/>
  <c r="I30" i="12"/>
  <c r="T53" i="10" s="1"/>
  <c r="T133" i="10" s="1"/>
  <c r="I34" i="12"/>
  <c r="T57" i="10" s="1"/>
  <c r="T137" i="10" s="1"/>
  <c r="I33" i="12"/>
  <c r="T56" i="10" s="1"/>
  <c r="T136" i="10" s="1"/>
  <c r="I42" i="12"/>
  <c r="I52" i="12"/>
  <c r="I43" i="12"/>
  <c r="I28" i="12"/>
  <c r="T51" i="10" s="1"/>
  <c r="T131" i="10" s="1"/>
  <c r="I56" i="12"/>
  <c r="I47" i="12"/>
  <c r="I40" i="12"/>
  <c r="I35" i="11"/>
  <c r="I38" i="11"/>
  <c r="I32" i="11"/>
  <c r="I31" i="11"/>
  <c r="I37" i="11"/>
  <c r="I46" i="12"/>
  <c r="I53" i="12"/>
  <c r="I48" i="12"/>
  <c r="I54" i="11"/>
  <c r="T122" i="10" s="1"/>
  <c r="I40" i="11"/>
  <c r="I44" i="11"/>
  <c r="I51" i="11"/>
  <c r="T119" i="10" s="1"/>
  <c r="I43" i="11"/>
  <c r="I57" i="11"/>
  <c r="T125" i="10" s="1"/>
  <c r="I39" i="11"/>
  <c r="I53" i="11"/>
  <c r="T121" i="10" s="1"/>
  <c r="I45" i="11"/>
  <c r="I55" i="11"/>
  <c r="T123" i="10" s="1"/>
  <c r="BK47" i="10"/>
  <c r="AI60" i="10"/>
  <c r="AI44" i="10"/>
  <c r="AI41" i="10"/>
  <c r="AI45" i="10"/>
  <c r="AI46" i="10"/>
  <c r="CE61" i="10"/>
  <c r="V81" i="10" s="1"/>
  <c r="W81" i="10" s="1"/>
  <c r="CW61" i="10"/>
  <c r="Y81" i="10" s="1"/>
  <c r="Z81" i="10" s="1"/>
  <c r="AW61" i="10"/>
  <c r="V75" i="10" s="1"/>
  <c r="DJ47" i="10"/>
  <c r="M87" i="10" s="1"/>
  <c r="AH83" i="10"/>
  <c r="AH85" i="10" s="1"/>
  <c r="AM20" i="10"/>
  <c r="BU20" i="10" s="1"/>
  <c r="B21" i="10"/>
  <c r="DF16" i="10"/>
  <c r="DF47" i="10"/>
  <c r="AI57" i="10"/>
  <c r="CL61" i="10"/>
  <c r="BO61" i="10"/>
  <c r="Y75" i="10" s="1"/>
  <c r="Y87" i="10"/>
  <c r="Z87" i="10" s="1"/>
  <c r="AI56" i="10"/>
  <c r="AI55" i="10"/>
  <c r="AG83" i="10"/>
  <c r="AG85" i="10" s="1"/>
  <c r="V88" i="10"/>
  <c r="W88" i="10" s="1"/>
  <c r="BX61" i="10"/>
  <c r="V80" i="10" s="1"/>
  <c r="W80" i="10" s="1"/>
  <c r="BK61" i="10"/>
  <c r="AP61" i="10"/>
  <c r="I36" i="11"/>
  <c r="I34" i="11"/>
  <c r="CS61" i="10"/>
  <c r="BO47" i="10"/>
  <c r="AF74" i="10"/>
  <c r="AG66" i="10"/>
  <c r="C79" i="10" s="1"/>
  <c r="AG68" i="10" s="1"/>
  <c r="AG67" i="10" s="1"/>
  <c r="G79" i="10" s="1"/>
  <c r="H79" i="10" s="1"/>
  <c r="CS47" i="10"/>
  <c r="CL47" i="10"/>
  <c r="M82" i="10" s="1"/>
  <c r="N82" i="10" s="1"/>
  <c r="CW47" i="10"/>
  <c r="P81" i="10" s="1"/>
  <c r="Q81" i="10" s="1"/>
  <c r="DN47" i="10"/>
  <c r="M88" i="10" s="1"/>
  <c r="N88" i="10" s="1"/>
  <c r="DV47" i="10"/>
  <c r="P87" i="10" s="1"/>
  <c r="Q87" i="10" s="1"/>
  <c r="DR47" i="10"/>
  <c r="P86" i="10" s="1"/>
  <c r="Q86" i="10" s="1"/>
  <c r="U21" i="10" l="1"/>
  <c r="U20" i="10"/>
  <c r="AZ22" i="10"/>
  <c r="T96" i="10"/>
  <c r="T22" i="10"/>
  <c r="V22" i="10" s="1"/>
  <c r="Z22" i="10" s="1"/>
  <c r="AZ26" i="10"/>
  <c r="AZ23" i="10"/>
  <c r="U32" i="10"/>
  <c r="CO32" i="10"/>
  <c r="BX47" i="10"/>
  <c r="M80" i="10" s="1"/>
  <c r="N80" i="10" s="1"/>
  <c r="CH17" i="10"/>
  <c r="CH32" i="10"/>
  <c r="T32" i="10" s="1"/>
  <c r="U33" i="10"/>
  <c r="U34" i="10"/>
  <c r="CH33" i="10"/>
  <c r="T33" i="10" s="1"/>
  <c r="U31" i="10"/>
  <c r="U30" i="10"/>
  <c r="CH30" i="10"/>
  <c r="T30" i="10" s="1"/>
  <c r="U29" i="10"/>
  <c r="U28" i="10"/>
  <c r="CH28" i="10"/>
  <c r="U27" i="10"/>
  <c r="U26" i="10"/>
  <c r="U25" i="10"/>
  <c r="U24" i="10"/>
  <c r="CE47" i="10"/>
  <c r="M81" i="10" s="1"/>
  <c r="N81" i="10" s="1"/>
  <c r="U23" i="10"/>
  <c r="CH22" i="10"/>
  <c r="CH21" i="10"/>
  <c r="CH20" i="10"/>
  <c r="CH19" i="10"/>
  <c r="CH18" i="10"/>
  <c r="AZ25" i="10"/>
  <c r="AZ20" i="10"/>
  <c r="T20" i="10" s="1"/>
  <c r="AS19" i="10"/>
  <c r="T19" i="10" s="1"/>
  <c r="V17" i="10"/>
  <c r="AZ28" i="10"/>
  <c r="AZ24" i="10"/>
  <c r="AZ21" i="10"/>
  <c r="AZ18" i="10"/>
  <c r="BG34" i="10"/>
  <c r="BG31" i="10"/>
  <c r="AW47" i="10"/>
  <c r="M75" i="10" s="1"/>
  <c r="N75" i="10" s="1"/>
  <c r="V37" i="10"/>
  <c r="T116" i="10"/>
  <c r="AP47" i="10"/>
  <c r="M74" i="10" s="1"/>
  <c r="N74" i="10" s="1"/>
  <c r="V35" i="10"/>
  <c r="V40" i="10"/>
  <c r="X44" i="10"/>
  <c r="W44" i="10"/>
  <c r="W43" i="10"/>
  <c r="X43" i="10"/>
  <c r="X42" i="10"/>
  <c r="W42" i="10"/>
  <c r="W36" i="10"/>
  <c r="X36" i="10"/>
  <c r="W39" i="10"/>
  <c r="X39" i="10"/>
  <c r="W38" i="10"/>
  <c r="X38" i="10"/>
  <c r="B56" i="10"/>
  <c r="AM56" i="10" s="1"/>
  <c r="BG23" i="10"/>
  <c r="BD47" i="10"/>
  <c r="M76" i="10" s="1"/>
  <c r="N76" i="10" s="1"/>
  <c r="V82" i="10"/>
  <c r="W82" i="10" s="1"/>
  <c r="Q76" i="10"/>
  <c r="B22" i="10"/>
  <c r="AM21" i="10"/>
  <c r="BU21" i="10" s="1"/>
  <c r="DJ16" i="10"/>
  <c r="DN16" i="10" s="1"/>
  <c r="DR16" i="10" s="1"/>
  <c r="DV16" i="10" s="1"/>
  <c r="Y80" i="10"/>
  <c r="Z80" i="10" s="1"/>
  <c r="P75" i="10"/>
  <c r="Q75" i="10" s="1"/>
  <c r="Q82" i="10"/>
  <c r="P80" i="10"/>
  <c r="Q80" i="10" s="1"/>
  <c r="M86" i="10"/>
  <c r="N86" i="10" s="1"/>
  <c r="N87" i="10"/>
  <c r="P74" i="10"/>
  <c r="Q74" i="10" s="1"/>
  <c r="W75" i="10"/>
  <c r="V74" i="10"/>
  <c r="W74" i="10" s="1"/>
  <c r="Y74" i="10"/>
  <c r="Z74" i="10" s="1"/>
  <c r="Z75" i="10"/>
  <c r="Z76" i="10"/>
  <c r="AF76" i="10"/>
  <c r="AF73" i="10"/>
  <c r="AF77" i="10"/>
  <c r="AF61" i="10"/>
  <c r="T101" i="10"/>
  <c r="AF47" i="10"/>
  <c r="AH66" i="10"/>
  <c r="C85" i="10" s="1"/>
  <c r="D79" i="10"/>
  <c r="X37" i="10" l="1"/>
  <c r="Z37" i="10"/>
  <c r="X35" i="10"/>
  <c r="Z35" i="10"/>
  <c r="W40" i="10"/>
  <c r="Z40" i="10"/>
  <c r="W17" i="10"/>
  <c r="Z17" i="10"/>
  <c r="T28" i="10"/>
  <c r="V28" i="10" s="1"/>
  <c r="V32" i="10"/>
  <c r="V30" i="10"/>
  <c r="CH29" i="10"/>
  <c r="T29" i="10" s="1"/>
  <c r="CH23" i="10"/>
  <c r="T23" i="10" s="1"/>
  <c r="V33" i="10"/>
  <c r="T112" i="10"/>
  <c r="T109" i="10"/>
  <c r="CH27" i="10"/>
  <c r="T27" i="10" s="1"/>
  <c r="T106" i="10" s="1"/>
  <c r="X33" i="10"/>
  <c r="CH31" i="10"/>
  <c r="T31" i="10" s="1"/>
  <c r="CH34" i="10"/>
  <c r="T34" i="10" s="1"/>
  <c r="CH26" i="10"/>
  <c r="T26" i="10" s="1"/>
  <c r="V26" i="10" s="1"/>
  <c r="CH25" i="10"/>
  <c r="T25" i="10" s="1"/>
  <c r="CH24" i="10"/>
  <c r="T24" i="10" s="1"/>
  <c r="V24" i="10" s="1"/>
  <c r="T21" i="10"/>
  <c r="T18" i="10"/>
  <c r="X30" i="10"/>
  <c r="X17" i="10"/>
  <c r="T107" i="10"/>
  <c r="V20" i="10"/>
  <c r="T99" i="10"/>
  <c r="V19" i="10"/>
  <c r="Z19" i="10" s="1"/>
  <c r="T98" i="10"/>
  <c r="W22" i="10"/>
  <c r="X22" i="10"/>
  <c r="W37" i="10"/>
  <c r="T114" i="10"/>
  <c r="T111" i="10"/>
  <c r="W35" i="10"/>
  <c r="X40" i="10"/>
  <c r="AI43" i="10"/>
  <c r="B57" i="10"/>
  <c r="AI42" i="10"/>
  <c r="B23" i="10"/>
  <c r="AM22" i="10"/>
  <c r="BU22" i="10" s="1"/>
  <c r="AM57" i="10"/>
  <c r="B58" i="10"/>
  <c r="W76" i="10"/>
  <c r="AF79" i="10"/>
  <c r="AF80" i="10"/>
  <c r="AF66" i="10"/>
  <c r="C73" i="10" s="1"/>
  <c r="D85" i="10"/>
  <c r="AH68" i="10"/>
  <c r="AH67" i="10" s="1"/>
  <c r="G85" i="10" s="1"/>
  <c r="H85" i="10" s="1"/>
  <c r="W33" i="10" l="1"/>
  <c r="Z33" i="10"/>
  <c r="W32" i="10"/>
  <c r="Z32" i="10"/>
  <c r="W30" i="10"/>
  <c r="Z30" i="10"/>
  <c r="X28" i="10"/>
  <c r="Z28" i="10"/>
  <c r="X26" i="10"/>
  <c r="AI26" i="10" s="1"/>
  <c r="Z26" i="10"/>
  <c r="W24" i="10"/>
  <c r="Z24" i="10"/>
  <c r="W20" i="10"/>
  <c r="Z20" i="10"/>
  <c r="X32" i="10"/>
  <c r="T108" i="10"/>
  <c r="V29" i="10"/>
  <c r="Z29" i="10" s="1"/>
  <c r="V21" i="10"/>
  <c r="T100" i="10"/>
  <c r="V18" i="10"/>
  <c r="T97" i="10"/>
  <c r="V34" i="10"/>
  <c r="T113" i="10"/>
  <c r="V31" i="10"/>
  <c r="T110" i="10"/>
  <c r="V27" i="10"/>
  <c r="T105" i="10"/>
  <c r="V25" i="10"/>
  <c r="T104" i="10"/>
  <c r="T103" i="10"/>
  <c r="W26" i="10"/>
  <c r="X31" i="10"/>
  <c r="X24" i="10"/>
  <c r="AI24" i="10" s="1"/>
  <c r="W28" i="10"/>
  <c r="X20" i="10"/>
  <c r="V23" i="10"/>
  <c r="T102" i="10"/>
  <c r="W19" i="10"/>
  <c r="X19" i="10"/>
  <c r="AM58" i="10"/>
  <c r="B59" i="10"/>
  <c r="AM23" i="10"/>
  <c r="BU23" i="10" s="1"/>
  <c r="B24" i="10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AF83" i="10"/>
  <c r="AF85" i="10" s="1"/>
  <c r="D73" i="10"/>
  <c r="AF68" i="10"/>
  <c r="AF67" i="10" s="1"/>
  <c r="G73" i="10" s="1"/>
  <c r="H73" i="10" s="1"/>
  <c r="X27" i="10" l="1"/>
  <c r="AI27" i="10" s="1"/>
  <c r="Z27" i="10"/>
  <c r="W31" i="10"/>
  <c r="Z31" i="10"/>
  <c r="W34" i="10"/>
  <c r="Z34" i="10"/>
  <c r="W25" i="10"/>
  <c r="Z25" i="10"/>
  <c r="X23" i="10"/>
  <c r="AI23" i="10" s="1"/>
  <c r="Z23" i="10"/>
  <c r="W21" i="10"/>
  <c r="Z21" i="10"/>
  <c r="W18" i="10"/>
  <c r="Z18" i="10"/>
  <c r="X21" i="10"/>
  <c r="X18" i="10"/>
  <c r="X25" i="10"/>
  <c r="W29" i="10"/>
  <c r="X29" i="10"/>
  <c r="W27" i="10"/>
  <c r="X34" i="10"/>
  <c r="W23" i="10"/>
  <c r="AM24" i="10"/>
  <c r="BU24" i="10" s="1"/>
  <c r="AM59" i="10"/>
  <c r="B60" i="10"/>
  <c r="AM60" i="10" s="1"/>
  <c r="AI25" i="10" l="1"/>
  <c r="AM25" i="10"/>
  <c r="BU25" i="10" s="1"/>
  <c r="AM26" i="10" l="1"/>
  <c r="BU26" i="10" s="1"/>
  <c r="AM27" i="10" l="1"/>
  <c r="BU27" i="10" s="1"/>
  <c r="AM28" i="10" l="1"/>
  <c r="BU28" i="10" s="1"/>
  <c r="AM29" i="10" l="1"/>
  <c r="BU29" i="10" s="1"/>
  <c r="AM30" i="10" l="1"/>
  <c r="BU30" i="10" s="1"/>
  <c r="AM31" i="10" l="1"/>
  <c r="BU31" i="10" s="1"/>
  <c r="AM32" i="10" l="1"/>
  <c r="BU32" i="10" s="1"/>
  <c r="AM33" i="10" l="1"/>
  <c r="BU33" i="10" s="1"/>
  <c r="B35" i="10" l="1"/>
  <c r="AM34" i="10"/>
  <c r="BU34" i="10" s="1"/>
  <c r="AM35" i="10" l="1"/>
  <c r="BU35" i="10" s="1"/>
  <c r="B36" i="10"/>
  <c r="B37" i="10" l="1"/>
  <c r="AM36" i="10"/>
  <c r="BU36" i="10" s="1"/>
  <c r="AM37" i="10" l="1"/>
  <c r="BU37" i="10" s="1"/>
  <c r="B38" i="10"/>
  <c r="B39" i="10" l="1"/>
  <c r="AM38" i="10"/>
  <c r="BU38" i="10" s="1"/>
  <c r="AM39" i="10" l="1"/>
  <c r="BU39" i="10" s="1"/>
  <c r="B40" i="10"/>
  <c r="B41" i="10" l="1"/>
  <c r="AM40" i="10"/>
  <c r="BU40" i="10" s="1"/>
  <c r="AM41" i="10" l="1"/>
  <c r="BU41" i="10" s="1"/>
  <c r="B42" i="10"/>
  <c r="B43" i="10" l="1"/>
  <c r="AM42" i="10"/>
  <c r="BU42" i="10" s="1"/>
  <c r="B44" i="10" l="1"/>
  <c r="AM43" i="10"/>
  <c r="BU43" i="10" s="1"/>
  <c r="B45" i="10" l="1"/>
  <c r="AM44" i="10"/>
  <c r="BU44" i="10" s="1"/>
  <c r="AM45" i="10" l="1"/>
  <c r="BU45" i="10" s="1"/>
  <c r="B46" i="10"/>
  <c r="AM46" i="10" s="1"/>
  <c r="BU46" i="10" s="1"/>
</calcChain>
</file>

<file path=xl/sharedStrings.xml><?xml version="1.0" encoding="utf-8"?>
<sst xmlns="http://schemas.openxmlformats.org/spreadsheetml/2006/main" count="451" uniqueCount="172">
  <si>
    <t>Test No.</t>
  </si>
  <si>
    <t>Location</t>
  </si>
  <si>
    <t>Project Name:</t>
  </si>
  <si>
    <t>Relative Compaction        (%)</t>
  </si>
  <si>
    <t>RG= Rough Grade</t>
  </si>
  <si>
    <t>TP = Top of Pipe</t>
  </si>
  <si>
    <t>SG= Subgrade</t>
  </si>
  <si>
    <t>FG= Finish Grade</t>
  </si>
  <si>
    <t>FTG= Footing Grade</t>
  </si>
  <si>
    <t>Bid Item</t>
  </si>
  <si>
    <t>ndf</t>
  </si>
  <si>
    <t>ddf</t>
  </si>
  <si>
    <t>α=0.05</t>
  </si>
  <si>
    <t>ln</t>
  </si>
  <si>
    <t>f</t>
  </si>
  <si>
    <t>F-test</t>
  </si>
  <si>
    <t>QA Inspector / Technician Name</t>
  </si>
  <si>
    <t>count</t>
  </si>
  <si>
    <t>Significance α=0.05</t>
  </si>
  <si>
    <t>Page 2 of 2</t>
  </si>
  <si>
    <t>depth</t>
  </si>
  <si>
    <t>PCF</t>
  </si>
  <si>
    <t>Date</t>
  </si>
  <si>
    <t>date</t>
  </si>
  <si>
    <t>Asphalt</t>
  </si>
  <si>
    <t>Page 1 of 2</t>
  </si>
  <si>
    <t>T-test</t>
  </si>
  <si>
    <t>Compare QA and QC Average</t>
  </si>
  <si>
    <t>Variability between QA and QC</t>
  </si>
  <si>
    <t>Proctor (pcf)</t>
  </si>
  <si>
    <t>Rice (pcf)</t>
  </si>
  <si>
    <t>Moisture %</t>
  </si>
  <si>
    <t>Number</t>
  </si>
  <si>
    <t>4"</t>
  </si>
  <si>
    <t>6"</t>
  </si>
  <si>
    <t>8"</t>
  </si>
  <si>
    <t>10"</t>
  </si>
  <si>
    <t>12"</t>
  </si>
  <si>
    <t>Probe depth</t>
  </si>
  <si>
    <t>RSQ</t>
  </si>
  <si>
    <t>Result</t>
  </si>
  <si>
    <t>Check One (X)</t>
  </si>
  <si>
    <t xml:space="preserve">Initial </t>
  </si>
  <si>
    <t>CCPW QA - V200</t>
  </si>
  <si>
    <t>Grade (see below)</t>
  </si>
  <si>
    <t>Proct-rice</t>
  </si>
  <si>
    <t>QC</t>
  </si>
  <si>
    <t>QC Proctor or Rice 2</t>
  </si>
  <si>
    <t>QC Proctor or Rice 1</t>
  </si>
  <si>
    <t>QC Proctor or Rice 3</t>
  </si>
  <si>
    <t>#1 QA 4"</t>
  </si>
  <si>
    <t>#1 QA 6"</t>
  </si>
  <si>
    <t>#1 QA 8"</t>
  </si>
  <si>
    <t>#1 QA 10"</t>
  </si>
  <si>
    <t>#1 QA 12"</t>
  </si>
  <si>
    <t>#2 QA 4"</t>
  </si>
  <si>
    <t>#2 QA 6"</t>
  </si>
  <si>
    <t>#2 QA 8"</t>
  </si>
  <si>
    <t>#2 QA 12"</t>
  </si>
  <si>
    <t>#2 QA 10"</t>
  </si>
  <si>
    <t>#3 QA 4"</t>
  </si>
  <si>
    <t>#3 QA 6"</t>
  </si>
  <si>
    <t>#3 QA 8"</t>
  </si>
  <si>
    <t>#3 QA 10"</t>
  </si>
  <si>
    <t>#3 QA 12"</t>
  </si>
  <si>
    <t/>
  </si>
  <si>
    <t>count ratio</t>
  </si>
  <si>
    <t>Standard Counts QA</t>
  </si>
  <si>
    <t>=</t>
  </si>
  <si>
    <t>F-test validation</t>
  </si>
  <si>
    <t>T-test validation</t>
  </si>
  <si>
    <t>mode</t>
  </si>
  <si>
    <t>proctor</t>
  </si>
  <si>
    <t xml:space="preserve">proc/rice </t>
  </si>
  <si>
    <t>type</t>
  </si>
  <si>
    <t>EMB=Embankment</t>
  </si>
  <si>
    <t>Elevation</t>
  </si>
  <si>
    <t>Thick</t>
  </si>
  <si>
    <t xml:space="preserve">Guage Calculations based on manufacturer's software equations </t>
  </si>
  <si>
    <t>Thickness</t>
  </si>
  <si>
    <t>K1</t>
  </si>
  <si>
    <t>K2</t>
  </si>
  <si>
    <t>Dg1</t>
  </si>
  <si>
    <t>Dg2</t>
  </si>
  <si>
    <t>DT</t>
  </si>
  <si>
    <t>Calculated Density (PCF)</t>
  </si>
  <si>
    <t>Reported Density (PCF)</t>
  </si>
  <si>
    <t>S/N</t>
  </si>
  <si>
    <t>A1</t>
  </si>
  <si>
    <t>B1</t>
  </si>
  <si>
    <t>C1</t>
  </si>
  <si>
    <t>a11</t>
  </si>
  <si>
    <t>a12</t>
  </si>
  <si>
    <t>a13</t>
  </si>
  <si>
    <t>A2</t>
  </si>
  <si>
    <t>B2</t>
  </si>
  <si>
    <t>C2</t>
  </si>
  <si>
    <t>a21</t>
  </si>
  <si>
    <t>a22</t>
  </si>
  <si>
    <t>a23</t>
  </si>
  <si>
    <t>Input Gauge Counts</t>
  </si>
  <si>
    <t>Std1</t>
  </si>
  <si>
    <t>std2</t>
  </si>
  <si>
    <t>Reported Gauge Counts</t>
  </si>
  <si>
    <t>Test Number</t>
  </si>
  <si>
    <t>System 1</t>
  </si>
  <si>
    <t>System 2</t>
  </si>
  <si>
    <t>Gauge Number</t>
  </si>
  <si>
    <t>4" calc</t>
  </si>
  <si>
    <t>QC mean</t>
  </si>
  <si>
    <t xml:space="preserve">QA mean </t>
  </si>
  <si>
    <t>QC SE</t>
  </si>
  <si>
    <t>QC SD</t>
  </si>
  <si>
    <t>QA SD</t>
  </si>
  <si>
    <t>QA SE</t>
  </si>
  <si>
    <t>SE pooled</t>
  </si>
  <si>
    <t>Proctor or rice</t>
  </si>
  <si>
    <t>t-test</t>
  </si>
  <si>
    <t>T-test =</t>
  </si>
  <si>
    <t>F-test =</t>
  </si>
  <si>
    <t>TYPE for test formula</t>
  </si>
  <si>
    <t>QA/QC NUCLEAR FIELD DENSITY VERIFICATION</t>
  </si>
  <si>
    <t>rev 8/16</t>
  </si>
  <si>
    <t>Clark County Department of Public Works Construction Management Division                Quality Assurance Section                                              7361 W. Charleston Ste 130
Las Vegas, NV 89117
702-455-7481 Fax 702-739-1558</t>
  </si>
  <si>
    <t>Soils</t>
  </si>
  <si>
    <t>Project Manager:</t>
  </si>
  <si>
    <t>Bid Number:</t>
  </si>
  <si>
    <t>QC Firm</t>
  </si>
  <si>
    <t>QA Firm</t>
  </si>
  <si>
    <t>Check  to Activate Sheet</t>
  </si>
  <si>
    <t>Verification Type</t>
  </si>
  <si>
    <t>(Soils / Base and Asphalt)</t>
  </si>
  <si>
    <t>x</t>
  </si>
  <si>
    <t>D= Dam</t>
  </si>
  <si>
    <t>QC Gauge Information</t>
  </si>
  <si>
    <t>Standard Counts</t>
  </si>
  <si>
    <t>QA Gauge Information</t>
  </si>
  <si>
    <t>Verification Results</t>
  </si>
  <si>
    <t>Comments:</t>
  </si>
  <si>
    <t>Probability 2 tail 0.05</t>
  </si>
  <si>
    <t>QC Gauge RSQ Verification
Proctor 1</t>
  </si>
  <si>
    <t>QC Gauge RSQ Verification
Proctor 2</t>
  </si>
  <si>
    <t>QC Gauge RSQ Verification
Proctor 3</t>
  </si>
  <si>
    <t>QA Gauge RSQ Verification
Proctor 1</t>
  </si>
  <si>
    <t>QA Gauge RSQ Verification
Proctor 2</t>
  </si>
  <si>
    <t>QA Gauge RSQ Verification
Proctor 3</t>
  </si>
  <si>
    <t>FGAC = Finish Grade AC</t>
  </si>
  <si>
    <t>Calculated Wet Density</t>
  </si>
  <si>
    <t>Constants</t>
  </si>
  <si>
    <t>Density</t>
  </si>
  <si>
    <t>Depth</t>
  </si>
  <si>
    <t>E</t>
  </si>
  <si>
    <t>A</t>
  </si>
  <si>
    <t>B</t>
  </si>
  <si>
    <t>F</t>
  </si>
  <si>
    <t>C</t>
  </si>
  <si>
    <t>Moisture Count Ratio</t>
  </si>
  <si>
    <t>Density Count Ratio</t>
  </si>
  <si>
    <t>Calculated Density</t>
  </si>
  <si>
    <t>Calculated Moisture</t>
  </si>
  <si>
    <t>Moist</t>
  </si>
  <si>
    <t>Information Presented on Daily Report</t>
  </si>
  <si>
    <t>Calculated</t>
  </si>
  <si>
    <t>Results Based Calcs</t>
  </si>
  <si>
    <t>which indicates that the QC testing can not be verified with QA testing.</t>
  </si>
  <si>
    <t>The QC testing results on 5/16 do not compute based on the reported counts.</t>
  </si>
  <si>
    <t>Even when considering other depths, the results still don't compute. The F-test and T-test both fail,</t>
  </si>
  <si>
    <t>Reported % Compaction</t>
  </si>
  <si>
    <t>Difference in Dry Density</t>
  </si>
  <si>
    <t>Results Based on Counts</t>
  </si>
  <si>
    <t>Comparision</t>
  </si>
  <si>
    <t>Verification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</si>
</sst>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"/>
    <numFmt numFmtId="166" formatCode="0.000"/>
    <numFmt numFmtId="167" formatCode="m/d/yy;@"/>
    <numFmt numFmtId="168" formatCode="0.00000"/>
    <numFmt numFmtId="169" formatCode="[$-409]d\-mmm\-yy;@"/>
    <numFmt numFmtId="170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6"/>
      <color indexed="10"/>
      <name val="Arial"/>
      <family val="2"/>
    </font>
    <font>
      <b/>
      <sz val="6"/>
      <color rgb="FFFF0000"/>
      <name val="Arial"/>
      <family val="2"/>
    </font>
    <font>
      <b/>
      <sz val="6"/>
      <color theme="1"/>
      <name val="Arial"/>
      <family val="2"/>
    </font>
    <font>
      <b/>
      <sz val="6"/>
      <color indexed="53"/>
      <name val="Arial"/>
      <family val="2"/>
    </font>
    <font>
      <b/>
      <sz val="6"/>
      <color indexed="49"/>
      <name val="Arial"/>
      <family val="2"/>
    </font>
    <font>
      <b/>
      <sz val="6"/>
      <color indexed="52"/>
      <name val="Arial"/>
      <family val="2"/>
    </font>
    <font>
      <b/>
      <i/>
      <sz val="6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67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419">
    <xf numFmtId="0" fontId="0" fillId="0" borderId="0" xfId="0"/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166" fontId="0" fillId="0" borderId="0" xfId="0" applyNumberFormat="1"/>
    <xf numFmtId="1" fontId="9" fillId="3" borderId="17" xfId="0" applyNumberFormat="1" applyFont="1" applyFill="1" applyBorder="1" applyAlignment="1" applyProtection="1">
      <alignment horizontal="center" vertical="center"/>
    </xf>
    <xf numFmtId="1" fontId="0" fillId="0" borderId="0" xfId="0" applyNumberFormat="1"/>
    <xf numFmtId="0" fontId="4" fillId="0" borderId="0" xfId="61"/>
    <xf numFmtId="0" fontId="12" fillId="0" borderId="29" xfId="61" applyFont="1" applyBorder="1" applyAlignment="1">
      <alignment horizontal="center" vertical="center" wrapText="1"/>
    </xf>
    <xf numFmtId="0" fontId="12" fillId="0" borderId="0" xfId="61" applyFont="1" applyBorder="1" applyAlignment="1">
      <alignment horizontal="center" vertical="center" wrapText="1"/>
    </xf>
    <xf numFmtId="165" fontId="7" fillId="9" borderId="4" xfId="61" applyNumberFormat="1" applyFont="1" applyFill="1" applyBorder="1" applyAlignment="1" applyProtection="1">
      <alignment horizontal="center" vertical="center"/>
      <protection locked="0"/>
    </xf>
    <xf numFmtId="0" fontId="12" fillId="8" borderId="30" xfId="61" applyFont="1" applyFill="1" applyBorder="1" applyAlignment="1">
      <alignment horizontal="center" vertical="center" wrapText="1"/>
    </xf>
    <xf numFmtId="0" fontId="12" fillId="8" borderId="31" xfId="61" applyFont="1" applyFill="1" applyBorder="1" applyAlignment="1">
      <alignment horizontal="center" vertical="center" wrapText="1"/>
    </xf>
    <xf numFmtId="0" fontId="12" fillId="8" borderId="32" xfId="61" applyFont="1" applyFill="1" applyBorder="1" applyAlignment="1">
      <alignment horizontal="center" vertical="center" wrapText="1"/>
    </xf>
    <xf numFmtId="165" fontId="7" fillId="9" borderId="18" xfId="61" applyNumberFormat="1" applyFont="1" applyFill="1" applyBorder="1" applyAlignment="1" applyProtection="1">
      <alignment horizontal="center" vertical="center"/>
      <protection locked="0"/>
    </xf>
    <xf numFmtId="0" fontId="6" fillId="0" borderId="0" xfId="61" applyFont="1" applyAlignment="1">
      <alignment horizontal="center"/>
    </xf>
    <xf numFmtId="0" fontId="6" fillId="7" borderId="0" xfId="61" applyFont="1" applyFill="1" applyAlignment="1">
      <alignment horizontal="center"/>
    </xf>
    <xf numFmtId="165" fontId="7" fillId="9" borderId="18" xfId="61" applyNumberFormat="1" applyFont="1" applyFill="1" applyBorder="1" applyAlignment="1" applyProtection="1">
      <alignment horizontal="center" vertical="center"/>
      <protection locked="0"/>
    </xf>
    <xf numFmtId="0" fontId="6" fillId="0" borderId="0" xfId="61" applyFont="1"/>
    <xf numFmtId="0" fontId="6" fillId="0" borderId="0" xfId="61" applyFont="1" applyAlignment="1">
      <alignment horizontal="center"/>
    </xf>
    <xf numFmtId="0" fontId="12" fillId="0" borderId="0" xfId="61" applyFont="1" applyAlignment="1">
      <alignment horizontal="center" vertical="center" wrapText="1"/>
    </xf>
    <xf numFmtId="0" fontId="6" fillId="0" borderId="0" xfId="61" applyFont="1" applyAlignment="1">
      <alignment horizontal="center"/>
    </xf>
    <xf numFmtId="0" fontId="12" fillId="0" borderId="33" xfId="61" applyFont="1" applyBorder="1" applyAlignment="1">
      <alignment horizontal="center" vertical="center" wrapText="1"/>
    </xf>
    <xf numFmtId="0" fontId="12" fillId="8" borderId="33" xfId="61" applyFont="1" applyFill="1" applyBorder="1" applyAlignment="1">
      <alignment horizontal="center" vertical="center" wrapText="1"/>
    </xf>
    <xf numFmtId="0" fontId="12" fillId="8" borderId="33" xfId="61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5" fillId="8" borderId="4" xfId="61" applyNumberFormat="1" applyFont="1" applyFill="1" applyBorder="1" applyAlignment="1">
      <alignment horizontal="center"/>
    </xf>
    <xf numFmtId="168" fontId="5" fillId="8" borderId="4" xfId="61" applyNumberFormat="1" applyFont="1" applyFill="1" applyBorder="1" applyAlignment="1">
      <alignment horizontal="center"/>
    </xf>
    <xf numFmtId="165" fontId="5" fillId="8" borderId="4" xfId="61" applyNumberFormat="1" applyFont="1" applyFill="1" applyBorder="1" applyAlignment="1">
      <alignment horizontal="center"/>
    </xf>
    <xf numFmtId="0" fontId="12" fillId="8" borderId="2" xfId="61" applyFont="1" applyFill="1" applyBorder="1" applyAlignment="1">
      <alignment vertical="center" wrapText="1"/>
    </xf>
    <xf numFmtId="165" fontId="13" fillId="10" borderId="0" xfId="61" applyNumberFormat="1" applyFont="1" applyFill="1" applyAlignment="1">
      <alignment horizontal="center"/>
    </xf>
    <xf numFmtId="0" fontId="12" fillId="0" borderId="32" xfId="61" applyFont="1" applyBorder="1" applyAlignment="1">
      <alignment horizontal="center" vertical="center" wrapText="1"/>
    </xf>
    <xf numFmtId="165" fontId="5" fillId="8" borderId="7" xfId="61" applyNumberFormat="1" applyFont="1" applyFill="1" applyBorder="1" applyAlignment="1">
      <alignment horizontal="center"/>
    </xf>
    <xf numFmtId="0" fontId="12" fillId="8" borderId="3" xfId="61" applyFont="1" applyFill="1" applyBorder="1" applyAlignment="1">
      <alignment horizontal="center" vertical="center" wrapText="1"/>
    </xf>
    <xf numFmtId="0" fontId="12" fillId="8" borderId="4" xfId="61" applyFont="1" applyFill="1" applyBorder="1" applyAlignment="1">
      <alignment vertical="center" wrapText="1"/>
    </xf>
    <xf numFmtId="0" fontId="6" fillId="7" borderId="0" xfId="61" applyFont="1" applyFill="1" applyAlignment="1">
      <alignment horizontal="center"/>
    </xf>
    <xf numFmtId="0" fontId="5" fillId="0" borderId="0" xfId="0" applyFont="1"/>
    <xf numFmtId="0" fontId="12" fillId="0" borderId="32" xfId="61" applyFont="1" applyBorder="1" applyAlignment="1">
      <alignment horizontal="center" vertical="center" wrapText="1"/>
    </xf>
    <xf numFmtId="0" fontId="15" fillId="3" borderId="0" xfId="0" applyFont="1" applyFill="1" applyAlignment="1" applyProtection="1">
      <alignment horizontal="center"/>
    </xf>
    <xf numFmtId="0" fontId="15" fillId="2" borderId="0" xfId="0" applyFont="1" applyFill="1" applyBorder="1" applyProtection="1"/>
    <xf numFmtId="165" fontId="15" fillId="2" borderId="0" xfId="0" applyNumberFormat="1" applyFont="1" applyFill="1" applyBorder="1" applyProtection="1"/>
    <xf numFmtId="14" fontId="15" fillId="2" borderId="0" xfId="0" applyNumberFormat="1" applyFont="1" applyFill="1" applyBorder="1" applyProtection="1"/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vertical="center"/>
    </xf>
    <xf numFmtId="0" fontId="15" fillId="2" borderId="0" xfId="0" applyFont="1" applyFill="1" applyAlignment="1" applyProtection="1">
      <alignment horizontal="left" vertical="center"/>
      <protection locked="0"/>
    </xf>
    <xf numFmtId="0" fontId="15" fillId="2" borderId="0" xfId="0" applyFont="1" applyFill="1" applyAlignment="1" applyProtection="1">
      <protection locked="0"/>
    </xf>
    <xf numFmtId="14" fontId="17" fillId="2" borderId="0" xfId="0" applyNumberFormat="1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/>
    <xf numFmtId="165" fontId="15" fillId="2" borderId="0" xfId="0" applyNumberFormat="1" applyFont="1" applyFill="1" applyBorder="1" applyAlignment="1" applyProtection="1"/>
    <xf numFmtId="14" fontId="15" fillId="2" borderId="0" xfId="0" applyNumberFormat="1" applyFont="1" applyFill="1" applyBorder="1" applyAlignment="1" applyProtection="1"/>
    <xf numFmtId="0" fontId="15" fillId="3" borderId="0" xfId="0" applyFont="1" applyFill="1" applyBorder="1" applyProtection="1"/>
    <xf numFmtId="0" fontId="15" fillId="3" borderId="0" xfId="0" applyFont="1" applyFill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25" xfId="0" applyFont="1" applyFill="1" applyBorder="1" applyAlignment="1" applyProtection="1">
      <alignment horizontal="center" vertical="center" wrapText="1"/>
    </xf>
    <xf numFmtId="165" fontId="15" fillId="2" borderId="12" xfId="0" applyNumberFormat="1" applyFont="1" applyFill="1" applyBorder="1" applyAlignment="1" applyProtection="1">
      <alignment horizontal="center" vertical="center" wrapText="1"/>
    </xf>
    <xf numFmtId="0" fontId="15" fillId="6" borderId="14" xfId="2" applyFont="1" applyFill="1" applyBorder="1" applyAlignment="1" applyProtection="1">
      <alignment horizontal="center" vertical="center"/>
      <protection locked="0"/>
    </xf>
    <xf numFmtId="167" fontId="15" fillId="6" borderId="14" xfId="2" applyNumberFormat="1" applyFont="1" applyFill="1" applyBorder="1" applyAlignment="1" applyProtection="1">
      <alignment horizontal="center" vertical="center"/>
      <protection locked="0"/>
    </xf>
    <xf numFmtId="0" fontId="15" fillId="6" borderId="14" xfId="0" applyFont="1" applyFill="1" applyBorder="1" applyAlignment="1" applyProtection="1">
      <alignment horizontal="center" vertical="center"/>
      <protection locked="0"/>
    </xf>
    <xf numFmtId="1" fontId="15" fillId="6" borderId="15" xfId="0" applyNumberFormat="1" applyFont="1" applyFill="1" applyBorder="1" applyAlignment="1" applyProtection="1">
      <alignment horizontal="center" vertical="center"/>
      <protection locked="0"/>
    </xf>
    <xf numFmtId="165" fontId="15" fillId="4" borderId="4" xfId="0" applyNumberFormat="1" applyFont="1" applyFill="1" applyBorder="1" applyAlignment="1" applyProtection="1">
      <alignment horizontal="center" vertical="center"/>
    </xf>
    <xf numFmtId="164" fontId="15" fillId="5" borderId="4" xfId="0" applyNumberFormat="1" applyFont="1" applyFill="1" applyBorder="1" applyAlignment="1" applyProtection="1">
      <alignment horizontal="center" vertical="center"/>
    </xf>
    <xf numFmtId="1" fontId="15" fillId="4" borderId="4" xfId="1" applyNumberFormat="1" applyFont="1" applyFill="1" applyBorder="1" applyAlignment="1" applyProtection="1">
      <alignment horizontal="center" vertical="center"/>
    </xf>
    <xf numFmtId="0" fontId="15" fillId="3" borderId="14" xfId="2" applyFont="1" applyFill="1" applyBorder="1" applyAlignment="1" applyProtection="1">
      <alignment horizontal="center" vertical="center"/>
      <protection locked="0"/>
    </xf>
    <xf numFmtId="1" fontId="15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1" fontId="15" fillId="2" borderId="14" xfId="1" applyNumberFormat="1" applyFont="1" applyFill="1" applyBorder="1" applyAlignment="1" applyProtection="1">
      <alignment vertical="center"/>
    </xf>
    <xf numFmtId="14" fontId="15" fillId="2" borderId="18" xfId="1" applyNumberFormat="1" applyFont="1" applyFill="1" applyBorder="1" applyAlignment="1" applyProtection="1">
      <alignment vertical="center"/>
    </xf>
    <xf numFmtId="0" fontId="15" fillId="3" borderId="0" xfId="0" applyFont="1" applyFill="1" applyAlignment="1" applyProtection="1"/>
    <xf numFmtId="0" fontId="15" fillId="3" borderId="0" xfId="0" applyFont="1" applyFill="1" applyAlignment="1" applyProtection="1">
      <alignment vertical="center"/>
    </xf>
    <xf numFmtId="0" fontId="15" fillId="2" borderId="0" xfId="0" applyFont="1" applyFill="1" applyBorder="1" applyAlignment="1" applyProtection="1">
      <alignment horizontal="center"/>
    </xf>
    <xf numFmtId="0" fontId="15" fillId="3" borderId="4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/>
    </xf>
    <xf numFmtId="0" fontId="15" fillId="3" borderId="4" xfId="0" applyFont="1" applyFill="1" applyBorder="1" applyAlignment="1" applyProtection="1">
      <alignment horizontal="center" vertical="center" wrapText="1"/>
    </xf>
    <xf numFmtId="2" fontId="15" fillId="3" borderId="0" xfId="0" applyNumberFormat="1" applyFont="1" applyFill="1" applyAlignment="1" applyProtection="1">
      <alignment horizontal="center"/>
    </xf>
    <xf numFmtId="0" fontId="15" fillId="3" borderId="0" xfId="0" applyFont="1" applyFill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</xf>
    <xf numFmtId="0" fontId="15" fillId="3" borderId="18" xfId="0" applyFont="1" applyFill="1" applyBorder="1" applyAlignment="1" applyProtection="1">
      <alignment vertical="center"/>
    </xf>
    <xf numFmtId="0" fontId="15" fillId="3" borderId="0" xfId="0" applyFont="1" applyFill="1" applyProtection="1"/>
    <xf numFmtId="0" fontId="15" fillId="2" borderId="0" xfId="0" applyFont="1" applyFill="1" applyProtection="1"/>
    <xf numFmtId="14" fontId="15" fillId="3" borderId="0" xfId="0" applyNumberFormat="1" applyFont="1" applyFill="1" applyBorder="1" applyProtection="1"/>
    <xf numFmtId="0" fontId="15" fillId="3" borderId="0" xfId="0" applyFont="1" applyFill="1" applyProtection="1">
      <protection locked="0"/>
    </xf>
    <xf numFmtId="14" fontId="15" fillId="3" borderId="0" xfId="0" applyNumberFormat="1" applyFont="1" applyFill="1" applyProtection="1"/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3" borderId="16" xfId="0" applyFont="1" applyFill="1" applyBorder="1" applyProtection="1"/>
    <xf numFmtId="0" fontId="15" fillId="3" borderId="13" xfId="0" applyFont="1" applyFill="1" applyBorder="1" applyProtection="1"/>
    <xf numFmtId="165" fontId="15" fillId="2" borderId="0" xfId="0" applyNumberFormat="1" applyFont="1" applyFill="1" applyBorder="1" applyAlignment="1" applyProtection="1">
      <alignment vertical="center"/>
    </xf>
    <xf numFmtId="14" fontId="15" fillId="2" borderId="0" xfId="0" applyNumberFormat="1" applyFont="1" applyFill="1" applyBorder="1" applyAlignment="1" applyProtection="1">
      <alignment vertical="center"/>
    </xf>
    <xf numFmtId="0" fontId="15" fillId="2" borderId="0" xfId="0" applyFont="1" applyFill="1" applyAlignment="1" applyProtection="1">
      <alignment horizontal="center"/>
    </xf>
    <xf numFmtId="0" fontId="15" fillId="3" borderId="14" xfId="0" applyFont="1" applyFill="1" applyBorder="1" applyProtection="1"/>
    <xf numFmtId="0" fontId="18" fillId="0" borderId="4" xfId="0" applyFont="1" applyFill="1" applyBorder="1" applyAlignment="1">
      <alignment horizontal="center" vertical="center"/>
    </xf>
    <xf numFmtId="1" fontId="18" fillId="0" borderId="4" xfId="0" applyNumberFormat="1" applyFont="1" applyFill="1" applyBorder="1" applyAlignment="1">
      <alignment horizontal="center" vertical="center"/>
    </xf>
    <xf numFmtId="165" fontId="18" fillId="0" borderId="4" xfId="0" applyNumberFormat="1" applyFont="1" applyFill="1" applyBorder="1" applyAlignment="1">
      <alignment horizontal="center" vertical="center"/>
    </xf>
    <xf numFmtId="165" fontId="15" fillId="2" borderId="12" xfId="1" applyNumberFormat="1" applyFont="1" applyFill="1" applyBorder="1" applyAlignment="1" applyProtection="1">
      <alignment horizontal="center"/>
    </xf>
    <xf numFmtId="0" fontId="15" fillId="3" borderId="15" xfId="0" applyFont="1" applyFill="1" applyBorder="1" applyProtection="1"/>
    <xf numFmtId="0" fontId="15" fillId="3" borderId="1" xfId="0" applyFont="1" applyFill="1" applyBorder="1" applyProtection="1"/>
    <xf numFmtId="165" fontId="15" fillId="2" borderId="28" xfId="1" applyNumberFormat="1" applyFont="1" applyFill="1" applyBorder="1" applyAlignment="1" applyProtection="1">
      <alignment horizontal="center"/>
    </xf>
    <xf numFmtId="165" fontId="15" fillId="2" borderId="27" xfId="1" applyNumberFormat="1" applyFont="1" applyFill="1" applyBorder="1" applyAlignment="1" applyProtection="1">
      <alignment horizontal="center"/>
    </xf>
    <xf numFmtId="166" fontId="15" fillId="3" borderId="22" xfId="0" applyNumberFormat="1" applyFont="1" applyFill="1" applyBorder="1" applyAlignment="1" applyProtection="1">
      <alignment horizontal="center"/>
    </xf>
    <xf numFmtId="1" fontId="15" fillId="3" borderId="23" xfId="0" applyNumberFormat="1" applyFont="1" applyFill="1" applyBorder="1" applyAlignment="1" applyProtection="1">
      <alignment horizontal="center"/>
    </xf>
    <xf numFmtId="1" fontId="15" fillId="3" borderId="0" xfId="0" applyNumberFormat="1" applyFont="1" applyFill="1" applyBorder="1" applyAlignment="1" applyProtection="1">
      <alignment horizontal="center"/>
    </xf>
    <xf numFmtId="1" fontId="15" fillId="3" borderId="0" xfId="0" applyNumberFormat="1" applyFont="1" applyFill="1" applyBorder="1" applyAlignment="1" applyProtection="1">
      <alignment horizontal="center" vertical="center"/>
    </xf>
    <xf numFmtId="165" fontId="15" fillId="3" borderId="0" xfId="0" applyNumberFormat="1" applyFont="1" applyFill="1" applyProtection="1"/>
    <xf numFmtId="166" fontId="15" fillId="3" borderId="4" xfId="0" applyNumberFormat="1" applyFont="1" applyFill="1" applyBorder="1" applyAlignment="1" applyProtection="1">
      <alignment horizontal="center"/>
    </xf>
    <xf numFmtId="165" fontId="15" fillId="0" borderId="0" xfId="0" applyNumberFormat="1" applyFont="1" applyFill="1" applyBorder="1" applyProtection="1"/>
    <xf numFmtId="0" fontId="15" fillId="2" borderId="0" xfId="2" applyFont="1" applyFill="1" applyBorder="1" applyProtection="1"/>
    <xf numFmtId="165" fontId="15" fillId="0" borderId="0" xfId="2" applyNumberFormat="1" applyFont="1" applyFill="1" applyBorder="1" applyProtection="1"/>
    <xf numFmtId="0" fontId="15" fillId="0" borderId="0" xfId="0" applyFont="1" applyFill="1" applyProtection="1"/>
    <xf numFmtId="0" fontId="15" fillId="2" borderId="0" xfId="2" applyFont="1" applyFill="1" applyBorder="1" applyAlignment="1" applyProtection="1">
      <alignment horizontal="center"/>
    </xf>
    <xf numFmtId="0" fontId="15" fillId="2" borderId="15" xfId="0" applyFont="1" applyFill="1" applyBorder="1" applyProtection="1"/>
    <xf numFmtId="14" fontId="15" fillId="2" borderId="4" xfId="0" applyNumberFormat="1" applyFont="1" applyFill="1" applyBorder="1" applyProtection="1"/>
    <xf numFmtId="2" fontId="15" fillId="3" borderId="0" xfId="0" applyNumberFormat="1" applyFont="1" applyFill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 vertical="center"/>
    </xf>
    <xf numFmtId="2" fontId="15" fillId="3" borderId="0" xfId="0" applyNumberFormat="1" applyFont="1" applyFill="1" applyProtection="1"/>
    <xf numFmtId="0" fontId="15" fillId="0" borderId="0" xfId="0" applyFont="1" applyFill="1" applyBorder="1" applyProtection="1"/>
    <xf numFmtId="0" fontId="17" fillId="3" borderId="0" xfId="0" applyFont="1" applyFill="1" applyProtection="1"/>
    <xf numFmtId="2" fontId="15" fillId="2" borderId="0" xfId="0" applyNumberFormat="1" applyFont="1" applyFill="1" applyBorder="1" applyProtection="1"/>
    <xf numFmtId="2" fontId="15" fillId="2" borderId="0" xfId="0" applyNumberFormat="1" applyFont="1" applyFill="1" applyBorder="1" applyAlignment="1" applyProtection="1">
      <alignment horizontal="center"/>
    </xf>
    <xf numFmtId="165" fontId="15" fillId="0" borderId="0" xfId="0" applyNumberFormat="1" applyFont="1" applyFill="1" applyBorder="1" applyAlignment="1" applyProtection="1">
      <alignment horizontal="center"/>
    </xf>
    <xf numFmtId="2" fontId="15" fillId="0" borderId="0" xfId="0" applyNumberFormat="1" applyFont="1" applyFill="1" applyProtection="1"/>
    <xf numFmtId="165" fontId="15" fillId="0" borderId="0" xfId="0" applyNumberFormat="1" applyFont="1" applyFill="1" applyProtection="1"/>
    <xf numFmtId="166" fontId="15" fillId="0" borderId="0" xfId="0" applyNumberFormat="1" applyFont="1" applyFill="1" applyProtection="1"/>
    <xf numFmtId="14" fontId="15" fillId="3" borderId="4" xfId="0" applyNumberFormat="1" applyFont="1" applyFill="1" applyBorder="1" applyProtection="1"/>
    <xf numFmtId="0" fontId="15" fillId="3" borderId="0" xfId="0" applyFont="1" applyFill="1" applyAlignment="1" applyProtection="1">
      <alignment wrapText="1"/>
    </xf>
    <xf numFmtId="0" fontId="15" fillId="2" borderId="0" xfId="0" applyFont="1" applyFill="1" applyAlignment="1" applyProtection="1">
      <alignment wrapText="1"/>
    </xf>
    <xf numFmtId="0" fontId="15" fillId="0" borderId="0" xfId="0" applyFont="1" applyFill="1" applyAlignment="1" applyProtection="1">
      <alignment wrapText="1"/>
    </xf>
    <xf numFmtId="165" fontId="15" fillId="0" borderId="0" xfId="0" applyNumberFormat="1" applyFont="1" applyFill="1" applyAlignment="1" applyProtection="1">
      <alignment wrapText="1"/>
    </xf>
    <xf numFmtId="0" fontId="15" fillId="3" borderId="15" xfId="0" applyFont="1" applyFill="1" applyBorder="1" applyAlignment="1" applyProtection="1">
      <alignment wrapText="1"/>
    </xf>
    <xf numFmtId="14" fontId="15" fillId="3" borderId="4" xfId="0" applyNumberFormat="1" applyFont="1" applyFill="1" applyBorder="1" applyAlignment="1" applyProtection="1">
      <alignment wrapText="1"/>
    </xf>
    <xf numFmtId="0" fontId="15" fillId="3" borderId="0" xfId="0" applyFont="1" applyFill="1" applyAlignment="1" applyProtection="1">
      <alignment horizontal="center" wrapText="1"/>
    </xf>
    <xf numFmtId="0" fontId="15" fillId="3" borderId="0" xfId="0" applyFont="1" applyFill="1" applyBorder="1" applyAlignment="1" applyProtection="1">
      <alignment wrapText="1"/>
    </xf>
    <xf numFmtId="165" fontId="15" fillId="3" borderId="0" xfId="1" applyNumberFormat="1" applyFont="1" applyFill="1" applyBorder="1" applyAlignment="1" applyProtection="1">
      <alignment horizontal="center"/>
    </xf>
    <xf numFmtId="9" fontId="15" fillId="3" borderId="0" xfId="1" applyFont="1" applyFill="1" applyBorder="1" applyAlignment="1" applyProtection="1">
      <alignment horizontal="center"/>
    </xf>
    <xf numFmtId="1" fontId="15" fillId="3" borderId="0" xfId="0" applyNumberFormat="1" applyFont="1" applyFill="1" applyBorder="1" applyProtection="1"/>
    <xf numFmtId="166" fontId="15" fillId="3" borderId="34" xfId="0" applyNumberFormat="1" applyFont="1" applyFill="1" applyBorder="1" applyAlignment="1" applyProtection="1">
      <alignment horizontal="center"/>
    </xf>
    <xf numFmtId="166" fontId="15" fillId="3" borderId="24" xfId="0" applyNumberFormat="1" applyFont="1" applyFill="1" applyBorder="1" applyAlignment="1" applyProtection="1">
      <alignment horizontal="center"/>
    </xf>
    <xf numFmtId="0" fontId="15" fillId="0" borderId="0" xfId="0" applyFont="1" applyFill="1" applyAlignment="1" applyProtection="1">
      <alignment horizontal="center"/>
    </xf>
    <xf numFmtId="165" fontId="15" fillId="0" borderId="0" xfId="0" applyNumberFormat="1" applyFont="1" applyFill="1" applyAlignment="1" applyProtection="1">
      <alignment horizontal="center"/>
    </xf>
    <xf numFmtId="0" fontId="19" fillId="3" borderId="0" xfId="0" applyFont="1" applyFill="1" applyProtection="1"/>
    <xf numFmtId="0" fontId="20" fillId="3" borderId="0" xfId="0" applyFont="1" applyFill="1" applyAlignment="1" applyProtection="1">
      <alignment horizontal="center"/>
    </xf>
    <xf numFmtId="0" fontId="19" fillId="3" borderId="0" xfId="0" applyFont="1" applyFill="1" applyAlignment="1" applyProtection="1">
      <alignment horizontal="center"/>
    </xf>
    <xf numFmtId="0" fontId="21" fillId="2" borderId="0" xfId="0" applyFont="1" applyFill="1" applyAlignment="1" applyProtection="1">
      <alignment horizontal="center"/>
    </xf>
    <xf numFmtId="14" fontId="15" fillId="3" borderId="4" xfId="0" applyNumberFormat="1" applyFont="1" applyFill="1" applyBorder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/>
    </xf>
    <xf numFmtId="166" fontId="15" fillId="3" borderId="0" xfId="0" applyNumberFormat="1" applyFont="1" applyFill="1" applyAlignment="1" applyProtection="1">
      <alignment horizontal="center"/>
    </xf>
    <xf numFmtId="0" fontId="19" fillId="2" borderId="0" xfId="0" applyFont="1" applyFill="1" applyBorder="1" applyAlignment="1" applyProtection="1"/>
    <xf numFmtId="0" fontId="20" fillId="2" borderId="0" xfId="0" applyFont="1" applyFill="1" applyBorder="1" applyAlignment="1" applyProtection="1"/>
    <xf numFmtId="0" fontId="15" fillId="3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vertical="center" wrapText="1"/>
    </xf>
    <xf numFmtId="0" fontId="15" fillId="3" borderId="35" xfId="0" applyFont="1" applyFill="1" applyBorder="1" applyAlignment="1" applyProtection="1">
      <alignment horizontal="center" vertical="center"/>
      <protection locked="0"/>
    </xf>
    <xf numFmtId="1" fontId="15" fillId="2" borderId="42" xfId="0" applyNumberFormat="1" applyFont="1" applyFill="1" applyBorder="1" applyAlignment="1" applyProtection="1">
      <alignment horizontal="center" vertical="center"/>
      <protection locked="0"/>
    </xf>
    <xf numFmtId="165" fontId="18" fillId="0" borderId="20" xfId="0" applyNumberFormat="1" applyFont="1" applyFill="1" applyBorder="1" applyAlignment="1">
      <alignment horizontal="center" vertical="center"/>
    </xf>
    <xf numFmtId="0" fontId="15" fillId="3" borderId="43" xfId="0" applyFont="1" applyFill="1" applyBorder="1" applyProtection="1"/>
    <xf numFmtId="0" fontId="15" fillId="3" borderId="43" xfId="0" applyFont="1" applyFill="1" applyBorder="1" applyAlignment="1" applyProtection="1">
      <alignment horizontal="center"/>
    </xf>
    <xf numFmtId="0" fontId="15" fillId="2" borderId="49" xfId="0" applyFont="1" applyFill="1" applyBorder="1" applyAlignment="1" applyProtection="1">
      <alignment vertical="center"/>
    </xf>
    <xf numFmtId="0" fontId="15" fillId="3" borderId="42" xfId="0" applyFont="1" applyFill="1" applyBorder="1" applyProtection="1"/>
    <xf numFmtId="0" fontId="15" fillId="3" borderId="3" xfId="0" applyFont="1" applyFill="1" applyBorder="1" applyProtection="1"/>
    <xf numFmtId="0" fontId="15" fillId="3" borderId="44" xfId="0" applyFont="1" applyFill="1" applyBorder="1" applyAlignment="1" applyProtection="1">
      <alignment horizontal="center"/>
    </xf>
    <xf numFmtId="0" fontId="15" fillId="2" borderId="43" xfId="0" applyFont="1" applyFill="1" applyBorder="1" applyAlignment="1" applyProtection="1">
      <alignment horizontal="center" vertical="center"/>
    </xf>
    <xf numFmtId="0" fontId="15" fillId="11" borderId="5" xfId="0" applyFont="1" applyFill="1" applyBorder="1" applyAlignment="1" applyProtection="1">
      <alignment horizontal="center" vertical="center" textRotation="90" wrapText="1"/>
    </xf>
    <xf numFmtId="0" fontId="15" fillId="11" borderId="18" xfId="0" applyFont="1" applyFill="1" applyBorder="1" applyAlignment="1" applyProtection="1">
      <alignment horizontal="center" vertical="center" textRotation="90" wrapText="1"/>
    </xf>
    <xf numFmtId="0" fontId="15" fillId="2" borderId="42" xfId="0" applyFont="1" applyFill="1" applyBorder="1" applyProtection="1"/>
    <xf numFmtId="14" fontId="15" fillId="2" borderId="20" xfId="0" applyNumberFormat="1" applyFont="1" applyFill="1" applyBorder="1" applyProtection="1"/>
    <xf numFmtId="14" fontId="15" fillId="3" borderId="18" xfId="0" applyNumberFormat="1" applyFont="1" applyFill="1" applyBorder="1" applyProtection="1"/>
    <xf numFmtId="165" fontId="15" fillId="2" borderId="0" xfId="0" applyNumberFormat="1" applyFont="1" applyFill="1" applyBorder="1" applyAlignment="1" applyProtection="1">
      <alignment horizontal="center" vertical="center" wrapText="1"/>
    </xf>
    <xf numFmtId="165" fontId="15" fillId="2" borderId="0" xfId="1" applyNumberFormat="1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alignment vertical="center" textRotation="90"/>
    </xf>
    <xf numFmtId="14" fontId="15" fillId="3" borderId="20" xfId="0" applyNumberFormat="1" applyFont="1" applyFill="1" applyBorder="1" applyProtection="1"/>
    <xf numFmtId="14" fontId="15" fillId="3" borderId="18" xfId="0" applyNumberFormat="1" applyFont="1" applyFill="1" applyBorder="1" applyAlignment="1" applyProtection="1">
      <alignment horizontal="center"/>
    </xf>
    <xf numFmtId="0" fontId="15" fillId="2" borderId="50" xfId="0" applyFont="1" applyFill="1" applyBorder="1" applyAlignment="1" applyProtection="1">
      <alignment horizontal="center" vertical="center" wrapText="1"/>
    </xf>
    <xf numFmtId="0" fontId="15" fillId="3" borderId="50" xfId="0" applyFont="1" applyFill="1" applyBorder="1" applyAlignment="1" applyProtection="1">
      <alignment horizontal="center" vertical="center" textRotation="90"/>
    </xf>
    <xf numFmtId="167" fontId="15" fillId="2" borderId="43" xfId="1" applyNumberFormat="1" applyFont="1" applyFill="1" applyBorder="1" applyAlignment="1" applyProtection="1">
      <alignment vertical="center"/>
    </xf>
    <xf numFmtId="1" fontId="15" fillId="3" borderId="43" xfId="0" applyNumberFormat="1" applyFont="1" applyFill="1" applyBorder="1" applyAlignment="1" applyProtection="1">
      <alignment horizontal="center" vertical="center"/>
    </xf>
    <xf numFmtId="166" fontId="15" fillId="3" borderId="43" xfId="0" applyNumberFormat="1" applyFont="1" applyFill="1" applyBorder="1" applyAlignment="1" applyProtection="1">
      <alignment horizontal="center"/>
    </xf>
    <xf numFmtId="1" fontId="15" fillId="3" borderId="43" xfId="0" applyNumberFormat="1" applyFont="1" applyFill="1" applyBorder="1" applyAlignment="1" applyProtection="1">
      <alignment horizontal="center"/>
    </xf>
    <xf numFmtId="165" fontId="15" fillId="3" borderId="43" xfId="0" applyNumberFormat="1" applyFont="1" applyFill="1" applyBorder="1" applyAlignment="1" applyProtection="1">
      <alignment horizontal="center"/>
    </xf>
    <xf numFmtId="167" fontId="15" fillId="3" borderId="43" xfId="0" applyNumberFormat="1" applyFont="1" applyFill="1" applyBorder="1" applyProtection="1"/>
    <xf numFmtId="0" fontId="15" fillId="2" borderId="43" xfId="0" applyFont="1" applyFill="1" applyBorder="1" applyProtection="1"/>
    <xf numFmtId="168" fontId="15" fillId="3" borderId="43" xfId="0" applyNumberFormat="1" applyFont="1" applyFill="1" applyBorder="1" applyAlignment="1" applyProtection="1">
      <alignment horizontal="center"/>
    </xf>
    <xf numFmtId="2" fontId="15" fillId="3" borderId="43" xfId="0" applyNumberFormat="1" applyFont="1" applyFill="1" applyBorder="1" applyProtection="1"/>
    <xf numFmtId="0" fontId="15" fillId="2" borderId="43" xfId="0" applyFont="1" applyFill="1" applyBorder="1" applyAlignment="1" applyProtection="1">
      <alignment horizontal="center"/>
    </xf>
    <xf numFmtId="167" fontId="15" fillId="2" borderId="44" xfId="1" applyNumberFormat="1" applyFont="1" applyFill="1" applyBorder="1" applyAlignment="1" applyProtection="1">
      <alignment vertical="center"/>
    </xf>
    <xf numFmtId="0" fontId="15" fillId="3" borderId="44" xfId="0" applyFont="1" applyFill="1" applyBorder="1" applyProtection="1"/>
    <xf numFmtId="1" fontId="15" fillId="3" borderId="44" xfId="0" applyNumberFormat="1" applyFont="1" applyFill="1" applyBorder="1" applyAlignment="1" applyProtection="1">
      <alignment horizontal="center" vertical="center"/>
    </xf>
    <xf numFmtId="166" fontId="15" fillId="3" borderId="44" xfId="0" applyNumberFormat="1" applyFont="1" applyFill="1" applyBorder="1" applyAlignment="1" applyProtection="1">
      <alignment horizontal="center"/>
    </xf>
    <xf numFmtId="1" fontId="15" fillId="3" borderId="44" xfId="0" applyNumberFormat="1" applyFont="1" applyFill="1" applyBorder="1" applyAlignment="1" applyProtection="1">
      <alignment horizontal="center"/>
    </xf>
    <xf numFmtId="165" fontId="15" fillId="3" borderId="44" xfId="0" applyNumberFormat="1" applyFont="1" applyFill="1" applyBorder="1" applyAlignment="1" applyProtection="1">
      <alignment horizontal="center"/>
    </xf>
    <xf numFmtId="167" fontId="15" fillId="3" borderId="44" xfId="0" applyNumberFormat="1" applyFont="1" applyFill="1" applyBorder="1" applyProtection="1"/>
    <xf numFmtId="168" fontId="15" fillId="3" borderId="44" xfId="0" applyNumberFormat="1" applyFont="1" applyFill="1" applyBorder="1" applyAlignment="1" applyProtection="1">
      <alignment horizontal="center"/>
    </xf>
    <xf numFmtId="1" fontId="15" fillId="12" borderId="43" xfId="1" applyNumberFormat="1" applyFont="1" applyFill="1" applyBorder="1" applyAlignment="1" applyProtection="1">
      <alignment vertical="center"/>
    </xf>
    <xf numFmtId="1" fontId="15" fillId="12" borderId="44" xfId="1" applyNumberFormat="1" applyFont="1" applyFill="1" applyBorder="1" applyAlignment="1" applyProtection="1">
      <alignment vertical="center"/>
    </xf>
    <xf numFmtId="14" fontId="15" fillId="2" borderId="50" xfId="0" applyNumberFormat="1" applyFont="1" applyFill="1" applyBorder="1" applyAlignment="1" applyProtection="1">
      <alignment horizontal="center" vertical="center" textRotation="90" wrapText="1"/>
    </xf>
    <xf numFmtId="165" fontId="15" fillId="3" borderId="50" xfId="0" applyNumberFormat="1" applyFont="1" applyFill="1" applyBorder="1" applyAlignment="1" applyProtection="1">
      <alignment horizontal="center" vertical="center" textRotation="90"/>
    </xf>
    <xf numFmtId="0" fontId="15" fillId="2" borderId="50" xfId="0" applyFont="1" applyFill="1" applyBorder="1" applyAlignment="1" applyProtection="1">
      <alignment horizontal="center" vertical="center" textRotation="90"/>
    </xf>
    <xf numFmtId="14" fontId="15" fillId="2" borderId="50" xfId="0" applyNumberFormat="1" applyFont="1" applyFill="1" applyBorder="1" applyAlignment="1" applyProtection="1">
      <alignment horizontal="center" vertical="center" textRotation="90"/>
    </xf>
    <xf numFmtId="14" fontId="15" fillId="3" borderId="50" xfId="0" applyNumberFormat="1" applyFont="1" applyFill="1" applyBorder="1" applyAlignment="1" applyProtection="1">
      <alignment horizontal="center" vertical="center" textRotation="90"/>
    </xf>
    <xf numFmtId="0" fontId="15" fillId="2" borderId="35" xfId="0" applyFont="1" applyFill="1" applyBorder="1" applyProtection="1"/>
    <xf numFmtId="14" fontId="15" fillId="2" borderId="34" xfId="0" applyNumberFormat="1" applyFont="1" applyFill="1" applyBorder="1" applyProtection="1"/>
    <xf numFmtId="1" fontId="15" fillId="4" borderId="39" xfId="0" applyNumberFormat="1" applyFont="1" applyFill="1" applyBorder="1" applyAlignment="1" applyProtection="1">
      <alignment horizontal="center" vertical="center"/>
    </xf>
    <xf numFmtId="1" fontId="15" fillId="6" borderId="8" xfId="0" applyNumberFormat="1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/>
    </xf>
    <xf numFmtId="0" fontId="15" fillId="2" borderId="39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 wrapText="1"/>
    </xf>
    <xf numFmtId="0" fontId="15" fillId="0" borderId="4" xfId="61" applyFont="1" applyFill="1" applyBorder="1" applyAlignment="1" applyProtection="1">
      <alignment horizontal="center" vertical="center"/>
      <protection locked="0"/>
    </xf>
    <xf numFmtId="0" fontId="15" fillId="0" borderId="4" xfId="61" applyFont="1" applyFill="1" applyBorder="1" applyAlignment="1">
      <alignment horizontal="center" vertical="center"/>
    </xf>
    <xf numFmtId="0" fontId="15" fillId="0" borderId="56" xfId="61" applyFont="1" applyFill="1" applyBorder="1" applyAlignment="1" applyProtection="1">
      <alignment horizontal="center" vertical="center"/>
      <protection locked="0"/>
    </xf>
    <xf numFmtId="0" fontId="15" fillId="0" borderId="56" xfId="61" applyFont="1" applyFill="1" applyBorder="1" applyAlignment="1">
      <alignment horizontal="center" vertical="center"/>
    </xf>
    <xf numFmtId="165" fontId="15" fillId="3" borderId="50" xfId="0" applyNumberFormat="1" applyFont="1" applyFill="1" applyBorder="1" applyAlignment="1" applyProtection="1">
      <alignment horizontal="center" vertical="center" textRotation="90" wrapText="1"/>
    </xf>
    <xf numFmtId="170" fontId="15" fillId="3" borderId="43" xfId="0" applyNumberFormat="1" applyFont="1" applyFill="1" applyBorder="1" applyAlignment="1" applyProtection="1">
      <alignment horizontal="center"/>
    </xf>
    <xf numFmtId="166" fontId="15" fillId="3" borderId="0" xfId="0" applyNumberFormat="1" applyFont="1" applyFill="1" applyBorder="1" applyAlignment="1" applyProtection="1">
      <alignment horizontal="center"/>
    </xf>
    <xf numFmtId="0" fontId="15" fillId="3" borderId="50" xfId="0" applyFont="1" applyFill="1" applyBorder="1" applyAlignment="1" applyProtection="1">
      <alignment horizontal="center" vertical="center" textRotation="90" wrapText="1"/>
    </xf>
    <xf numFmtId="165" fontId="18" fillId="13" borderId="4" xfId="0" applyNumberFormat="1" applyFont="1" applyFill="1" applyBorder="1" applyAlignment="1">
      <alignment horizontal="center" vertical="center"/>
    </xf>
    <xf numFmtId="0" fontId="15" fillId="11" borderId="53" xfId="0" applyFont="1" applyFill="1" applyBorder="1" applyAlignment="1" applyProtection="1">
      <alignment horizontal="center" vertical="center" textRotation="90" wrapText="1"/>
    </xf>
    <xf numFmtId="0" fontId="15" fillId="11" borderId="54" xfId="0" applyFont="1" applyFill="1" applyBorder="1" applyAlignment="1" applyProtection="1">
      <alignment horizontal="center" vertical="center" textRotation="90" wrapText="1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vertical="center"/>
      <protection locked="0"/>
    </xf>
    <xf numFmtId="0" fontId="15" fillId="2" borderId="3" xfId="0" applyFont="1" applyFill="1" applyBorder="1" applyAlignment="1" applyProtection="1">
      <alignment horizontal="left"/>
    </xf>
    <xf numFmtId="0" fontId="15" fillId="2" borderId="3" xfId="0" applyFont="1" applyFill="1" applyBorder="1" applyProtection="1"/>
    <xf numFmtId="0" fontId="15" fillId="2" borderId="37" xfId="0" applyFont="1" applyFill="1" applyBorder="1" applyAlignment="1" applyProtection="1">
      <alignment horizontal="center" vertical="center"/>
    </xf>
    <xf numFmtId="0" fontId="15" fillId="2" borderId="58" xfId="0" applyFont="1" applyFill="1" applyBorder="1" applyAlignment="1" applyProtection="1">
      <alignment horizontal="center" vertical="center"/>
      <protection locked="0"/>
    </xf>
    <xf numFmtId="0" fontId="15" fillId="11" borderId="59" xfId="0" applyFont="1" applyFill="1" applyBorder="1" applyAlignment="1" applyProtection="1">
      <alignment horizontal="center" vertical="center" textRotation="90" wrapText="1"/>
    </xf>
    <xf numFmtId="0" fontId="15" fillId="4" borderId="39" xfId="0" applyFont="1" applyFill="1" applyBorder="1" applyAlignment="1" applyProtection="1">
      <alignment horizontal="center" vertical="center"/>
    </xf>
    <xf numFmtId="0" fontId="15" fillId="11" borderId="40" xfId="0" applyFont="1" applyFill="1" applyBorder="1" applyAlignment="1" applyProtection="1">
      <alignment horizontal="center" vertical="center" textRotation="90" wrapText="1"/>
    </xf>
    <xf numFmtId="0" fontId="15" fillId="2" borderId="56" xfId="0" applyFont="1" applyFill="1" applyBorder="1" applyAlignment="1" applyProtection="1">
      <alignment horizontal="center" vertical="center"/>
      <protection locked="0"/>
    </xf>
    <xf numFmtId="0" fontId="15" fillId="2" borderId="57" xfId="0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 applyProtection="1">
      <alignment horizontal="center" vertical="center"/>
    </xf>
    <xf numFmtId="0" fontId="15" fillId="3" borderId="56" xfId="0" applyFont="1" applyFill="1" applyBorder="1" applyAlignment="1" applyProtection="1">
      <alignment horizontal="center" vertical="center" wrapText="1"/>
    </xf>
    <xf numFmtId="165" fontId="15" fillId="13" borderId="4" xfId="0" applyNumberFormat="1" applyFont="1" applyFill="1" applyBorder="1" applyAlignment="1" applyProtection="1">
      <alignment horizontal="center" vertical="center"/>
    </xf>
    <xf numFmtId="166" fontId="15" fillId="2" borderId="4" xfId="0" applyNumberFormat="1" applyFont="1" applyFill="1" applyBorder="1" applyAlignment="1" applyProtection="1">
      <alignment horizontal="center" vertical="center"/>
    </xf>
    <xf numFmtId="166" fontId="15" fillId="3" borderId="4" xfId="0" applyNumberFormat="1" applyFont="1" applyFill="1" applyBorder="1" applyAlignment="1" applyProtection="1">
      <alignment horizontal="center" vertical="center"/>
    </xf>
    <xf numFmtId="166" fontId="15" fillId="4" borderId="4" xfId="0" applyNumberFormat="1" applyFont="1" applyFill="1" applyBorder="1" applyAlignment="1" applyProtection="1">
      <alignment horizontal="center" vertical="center"/>
    </xf>
    <xf numFmtId="0" fontId="15" fillId="4" borderId="4" xfId="0" applyFont="1" applyFill="1" applyBorder="1" applyAlignment="1" applyProtection="1">
      <alignment horizontal="center" vertical="center"/>
    </xf>
    <xf numFmtId="0" fontId="15" fillId="4" borderId="58" xfId="0" applyFont="1" applyFill="1" applyBorder="1" applyAlignment="1" applyProtection="1">
      <alignment horizontal="center" vertical="center"/>
    </xf>
    <xf numFmtId="2" fontId="15" fillId="4" borderId="4" xfId="0" applyNumberFormat="1" applyFont="1" applyFill="1" applyBorder="1" applyAlignment="1" applyProtection="1">
      <alignment horizontal="center"/>
    </xf>
    <xf numFmtId="2" fontId="15" fillId="4" borderId="4" xfId="0" applyNumberFormat="1" applyFont="1" applyFill="1" applyBorder="1" applyAlignment="1" applyProtection="1">
      <alignment horizontal="center" vertical="center"/>
    </xf>
    <xf numFmtId="0" fontId="15" fillId="2" borderId="55" xfId="0" applyFont="1" applyFill="1" applyBorder="1" applyAlignment="1" applyProtection="1">
      <alignment horizontal="left"/>
    </xf>
    <xf numFmtId="0" fontId="15" fillId="2" borderId="56" xfId="0" applyFont="1" applyFill="1" applyBorder="1" applyAlignment="1" applyProtection="1">
      <alignment horizontal="center"/>
    </xf>
    <xf numFmtId="0" fontId="15" fillId="2" borderId="56" xfId="0" applyFont="1" applyFill="1" applyBorder="1" applyAlignment="1" applyProtection="1">
      <alignment horizontal="left"/>
    </xf>
    <xf numFmtId="0" fontId="15" fillId="2" borderId="4" xfId="0" applyFont="1" applyFill="1" applyBorder="1" applyAlignment="1" applyProtection="1">
      <alignment vertical="center" wrapText="1"/>
    </xf>
    <xf numFmtId="0" fontId="15" fillId="2" borderId="4" xfId="0" applyFont="1" applyFill="1" applyBorder="1" applyAlignment="1" applyProtection="1">
      <alignment vertical="center"/>
      <protection locked="0"/>
    </xf>
    <xf numFmtId="0" fontId="15" fillId="2" borderId="56" xfId="0" applyFont="1" applyFill="1" applyBorder="1" applyAlignment="1" applyProtection="1">
      <alignment vertical="center" wrapText="1"/>
    </xf>
    <xf numFmtId="0" fontId="15" fillId="3" borderId="56" xfId="0" applyFont="1" applyFill="1" applyBorder="1" applyAlignment="1" applyProtection="1">
      <alignment horizontal="center" vertical="center"/>
    </xf>
    <xf numFmtId="166" fontId="15" fillId="4" borderId="56" xfId="0" applyNumberFormat="1" applyFont="1" applyFill="1" applyBorder="1" applyAlignment="1" applyProtection="1">
      <alignment horizontal="center" vertical="center"/>
    </xf>
    <xf numFmtId="0" fontId="15" fillId="4" borderId="56" xfId="0" applyFont="1" applyFill="1" applyBorder="1" applyAlignment="1" applyProtection="1">
      <alignment horizontal="center" vertical="center"/>
    </xf>
    <xf numFmtId="0" fontId="15" fillId="4" borderId="57" xfId="0" applyFont="1" applyFill="1" applyBorder="1" applyAlignment="1" applyProtection="1">
      <alignment horizontal="center" vertical="center"/>
    </xf>
    <xf numFmtId="0" fontId="15" fillId="3" borderId="20" xfId="0" applyFont="1" applyFill="1" applyBorder="1" applyAlignment="1" applyProtection="1">
      <alignment horizontal="center" vertical="center"/>
    </xf>
    <xf numFmtId="166" fontId="15" fillId="4" borderId="20" xfId="0" applyNumberFormat="1" applyFont="1" applyFill="1" applyBorder="1" applyAlignment="1" applyProtection="1">
      <alignment horizontal="center" vertical="center"/>
    </xf>
    <xf numFmtId="0" fontId="15" fillId="4" borderId="20" xfId="0" applyFont="1" applyFill="1" applyBorder="1" applyAlignment="1" applyProtection="1">
      <alignment horizontal="center" vertical="center"/>
    </xf>
    <xf numFmtId="0" fontId="15" fillId="3" borderId="20" xfId="0" applyFont="1" applyFill="1" applyBorder="1" applyAlignment="1" applyProtection="1">
      <alignment horizontal="center"/>
    </xf>
    <xf numFmtId="0" fontId="15" fillId="4" borderId="63" xfId="0" applyFont="1" applyFill="1" applyBorder="1" applyAlignment="1" applyProtection="1">
      <alignment horizontal="center" vertical="center"/>
    </xf>
    <xf numFmtId="2" fontId="15" fillId="4" borderId="56" xfId="0" applyNumberFormat="1" applyFont="1" applyFill="1" applyBorder="1" applyAlignment="1" applyProtection="1">
      <alignment horizontal="center"/>
    </xf>
    <xf numFmtId="0" fontId="15" fillId="4" borderId="56" xfId="0" applyFont="1" applyFill="1" applyBorder="1" applyAlignment="1" applyProtection="1">
      <alignment horizontal="center"/>
    </xf>
    <xf numFmtId="2" fontId="15" fillId="4" borderId="56" xfId="0" applyNumberFormat="1" applyFont="1" applyFill="1" applyBorder="1" applyAlignment="1" applyProtection="1">
      <alignment horizontal="center" vertical="center"/>
    </xf>
    <xf numFmtId="0" fontId="15" fillId="2" borderId="61" xfId="0" applyFont="1" applyFill="1" applyBorder="1" applyAlignment="1" applyProtection="1">
      <alignment vertical="center"/>
    </xf>
    <xf numFmtId="0" fontId="15" fillId="11" borderId="4" xfId="0" applyFont="1" applyFill="1" applyBorder="1" applyAlignment="1" applyProtection="1">
      <alignment horizontal="center" vertical="center"/>
    </xf>
    <xf numFmtId="0" fontId="15" fillId="11" borderId="4" xfId="61" applyFont="1" applyFill="1" applyBorder="1" applyAlignment="1" applyProtection="1">
      <alignment horizontal="center" vertical="center"/>
      <protection locked="0"/>
    </xf>
    <xf numFmtId="0" fontId="15" fillId="11" borderId="56" xfId="61" applyFont="1" applyFill="1" applyBorder="1" applyAlignment="1" applyProtection="1">
      <alignment horizontal="center" vertical="center"/>
      <protection locked="0"/>
    </xf>
    <xf numFmtId="0" fontId="15" fillId="11" borderId="4" xfId="0" applyFont="1" applyFill="1" applyBorder="1" applyAlignment="1" applyProtection="1">
      <alignment horizontal="center" vertical="center" wrapText="1"/>
    </xf>
    <xf numFmtId="0" fontId="15" fillId="0" borderId="14" xfId="2" applyFont="1" applyFill="1" applyBorder="1" applyAlignment="1" applyProtection="1">
      <alignment horizontal="center" vertical="center"/>
      <protection locked="0"/>
    </xf>
    <xf numFmtId="167" fontId="15" fillId="0" borderId="14" xfId="2" applyNumberFormat="1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1" fontId="15" fillId="0" borderId="15" xfId="0" applyNumberFormat="1" applyFont="1" applyFill="1" applyBorder="1" applyAlignment="1" applyProtection="1">
      <alignment horizontal="center" vertical="center"/>
      <protection locked="0"/>
    </xf>
    <xf numFmtId="165" fontId="15" fillId="0" borderId="15" xfId="0" applyNumberFormat="1" applyFont="1" applyFill="1" applyBorder="1" applyAlignment="1" applyProtection="1">
      <alignment horizontal="center" vertical="center"/>
      <protection locked="0"/>
    </xf>
    <xf numFmtId="1" fontId="15" fillId="0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7" xfId="61" applyFont="1" applyFill="1" applyBorder="1" applyAlignment="1" applyProtection="1">
      <alignment horizontal="center" vertical="center"/>
      <protection locked="0"/>
    </xf>
    <xf numFmtId="0" fontId="15" fillId="11" borderId="4" xfId="6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 applyProtection="1">
      <alignment vertical="center"/>
      <protection locked="0"/>
    </xf>
    <xf numFmtId="49" fontId="15" fillId="0" borderId="8" xfId="0" applyNumberFormat="1" applyFont="1" applyFill="1" applyBorder="1" applyAlignment="1" applyProtection="1">
      <alignment vertical="center"/>
      <protection locked="0"/>
    </xf>
    <xf numFmtId="1" fontId="15" fillId="0" borderId="4" xfId="0" applyNumberFormat="1" applyFont="1" applyFill="1" applyBorder="1" applyAlignment="1" applyProtection="1">
      <alignment horizontal="center" vertical="center"/>
      <protection locked="0"/>
    </xf>
    <xf numFmtId="0" fontId="15" fillId="11" borderId="60" xfId="0" applyFont="1" applyFill="1" applyBorder="1" applyAlignment="1" applyProtection="1">
      <alignment horizontal="center" vertical="center" textRotation="90" wrapText="1"/>
    </xf>
    <xf numFmtId="165" fontId="15" fillId="13" borderId="39" xfId="0" applyNumberFormat="1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vertical="center" wrapText="1"/>
    </xf>
    <xf numFmtId="164" fontId="15" fillId="0" borderId="7" xfId="0" applyNumberFormat="1" applyFont="1" applyFill="1" applyBorder="1" applyAlignment="1" applyProtection="1">
      <alignment horizontal="center" vertical="center"/>
    </xf>
    <xf numFmtId="165" fontId="15" fillId="0" borderId="4" xfId="0" applyNumberFormat="1" applyFont="1" applyFill="1" applyBorder="1" applyAlignment="1" applyProtection="1">
      <alignment horizontal="center" vertical="center"/>
      <protection locked="0"/>
    </xf>
    <xf numFmtId="165" fontId="15" fillId="0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Protection="1"/>
    <xf numFmtId="1" fontId="15" fillId="0" borderId="39" xfId="0" applyNumberFormat="1" applyFont="1" applyFill="1" applyBorder="1" applyAlignment="1" applyProtection="1">
      <alignment horizontal="center" vertical="center"/>
    </xf>
    <xf numFmtId="165" fontId="15" fillId="0" borderId="58" xfId="0" applyNumberFormat="1" applyFont="1" applyFill="1" applyBorder="1" applyAlignment="1" applyProtection="1">
      <alignment horizontal="center" vertical="center"/>
    </xf>
    <xf numFmtId="167" fontId="15" fillId="0" borderId="58" xfId="0" applyNumberFormat="1" applyFont="1" applyFill="1" applyBorder="1" applyAlignment="1" applyProtection="1">
      <alignment horizontal="center" vertical="center"/>
    </xf>
    <xf numFmtId="0" fontId="15" fillId="11" borderId="6" xfId="0" applyFont="1" applyFill="1" applyBorder="1" applyAlignment="1" applyProtection="1">
      <alignment horizontal="center" vertical="center" textRotation="90" wrapText="1"/>
    </xf>
    <xf numFmtId="1" fontId="15" fillId="4" borderId="7" xfId="1" applyNumberFormat="1" applyFont="1" applyFill="1" applyBorder="1" applyAlignment="1" applyProtection="1">
      <alignment horizontal="center" vertical="center"/>
    </xf>
    <xf numFmtId="49" fontId="15" fillId="6" borderId="4" xfId="0" applyNumberFormat="1" applyFont="1" applyFill="1" applyBorder="1" applyAlignment="1" applyProtection="1">
      <alignment horizontal="center" vertical="center"/>
      <protection locked="0"/>
    </xf>
    <xf numFmtId="0" fontId="15" fillId="2" borderId="47" xfId="0" applyFont="1" applyFill="1" applyBorder="1" applyAlignment="1" applyProtection="1">
      <alignment horizontal="center" vertical="center"/>
    </xf>
    <xf numFmtId="0" fontId="15" fillId="2" borderId="49" xfId="0" applyFont="1" applyFill="1" applyBorder="1" applyAlignment="1" applyProtection="1">
      <alignment horizontal="center" vertical="center"/>
    </xf>
    <xf numFmtId="0" fontId="15" fillId="2" borderId="51" xfId="0" applyFont="1" applyFill="1" applyBorder="1" applyAlignment="1" applyProtection="1">
      <alignment horizontal="center" vertical="center"/>
    </xf>
    <xf numFmtId="0" fontId="15" fillId="11" borderId="53" xfId="0" applyFont="1" applyFill="1" applyBorder="1" applyAlignment="1" applyProtection="1">
      <alignment horizontal="center" vertical="center"/>
    </xf>
    <xf numFmtId="0" fontId="15" fillId="11" borderId="5" xfId="0" applyFont="1" applyFill="1" applyBorder="1" applyAlignment="1" applyProtection="1">
      <alignment horizontal="center" vertical="center"/>
    </xf>
    <xf numFmtId="0" fontId="15" fillId="11" borderId="54" xfId="0" applyFont="1" applyFill="1" applyBorder="1" applyAlignment="1" applyProtection="1">
      <alignment horizontal="center" vertical="center"/>
    </xf>
    <xf numFmtId="0" fontId="15" fillId="0" borderId="56" xfId="0" applyFont="1" applyFill="1" applyBorder="1" applyAlignment="1" applyProtection="1">
      <alignment horizontal="center" vertical="center"/>
    </xf>
    <xf numFmtId="0" fontId="15" fillId="3" borderId="5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</xf>
    <xf numFmtId="0" fontId="15" fillId="3" borderId="54" xfId="0" applyFont="1" applyFill="1" applyBorder="1" applyAlignment="1" applyProtection="1">
      <alignment horizontal="center" vertical="center"/>
    </xf>
    <xf numFmtId="0" fontId="15" fillId="3" borderId="58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/>
    </xf>
    <xf numFmtId="0" fontId="15" fillId="3" borderId="56" xfId="0" applyFont="1" applyFill="1" applyBorder="1" applyAlignment="1" applyProtection="1">
      <alignment horizontal="center" vertical="center"/>
    </xf>
    <xf numFmtId="0" fontId="15" fillId="3" borderId="41" xfId="0" applyFont="1" applyFill="1" applyBorder="1" applyAlignment="1" applyProtection="1">
      <alignment horizontal="center" vertical="center" wrapText="1"/>
    </xf>
    <xf numFmtId="0" fontId="15" fillId="3" borderId="42" xfId="0" applyFont="1" applyFill="1" applyBorder="1" applyAlignment="1" applyProtection="1">
      <alignment horizontal="center" vertical="center" wrapText="1"/>
    </xf>
    <xf numFmtId="0" fontId="15" fillId="3" borderId="60" xfId="0" applyFont="1" applyFill="1" applyBorder="1" applyAlignment="1" applyProtection="1">
      <alignment horizontal="center" vertical="center" wrapText="1"/>
    </xf>
    <xf numFmtId="0" fontId="15" fillId="3" borderId="14" xfId="0" applyFont="1" applyFill="1" applyBorder="1" applyAlignment="1" applyProtection="1">
      <alignment horizontal="center" vertical="center" wrapText="1"/>
    </xf>
    <xf numFmtId="0" fontId="15" fillId="11" borderId="60" xfId="0" applyFont="1" applyFill="1" applyBorder="1" applyAlignment="1" applyProtection="1">
      <alignment horizontal="center" vertical="center" textRotation="90"/>
    </xf>
    <xf numFmtId="0" fontId="15" fillId="11" borderId="14" xfId="0" applyFont="1" applyFill="1" applyBorder="1" applyAlignment="1" applyProtection="1">
      <alignment horizontal="center" vertical="center" textRotation="90"/>
    </xf>
    <xf numFmtId="49" fontId="15" fillId="0" borderId="7" xfId="0" applyNumberFormat="1" applyFont="1" applyFill="1" applyBorder="1" applyAlignment="1" applyProtection="1">
      <alignment horizontal="center" vertical="center"/>
      <protection locked="0"/>
    </xf>
    <xf numFmtId="49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24" fillId="14" borderId="53" xfId="0" applyFont="1" applyFill="1" applyBorder="1" applyAlignment="1" applyProtection="1">
      <alignment horizontal="center" vertical="center"/>
    </xf>
    <xf numFmtId="0" fontId="24" fillId="14" borderId="5" xfId="0" applyFont="1" applyFill="1" applyBorder="1" applyAlignment="1" applyProtection="1">
      <alignment horizontal="center" vertical="center"/>
    </xf>
    <xf numFmtId="0" fontId="24" fillId="14" borderId="54" xfId="0" applyFont="1" applyFill="1" applyBorder="1" applyAlignment="1" applyProtection="1">
      <alignment horizontal="center" vertical="center"/>
    </xf>
    <xf numFmtId="0" fontId="24" fillId="14" borderId="55" xfId="0" applyFont="1" applyFill="1" applyBorder="1" applyAlignment="1" applyProtection="1">
      <alignment horizontal="center" vertical="center"/>
    </xf>
    <xf numFmtId="0" fontId="24" fillId="14" borderId="56" xfId="0" applyFont="1" applyFill="1" applyBorder="1" applyAlignment="1" applyProtection="1">
      <alignment horizontal="center" vertical="center"/>
    </xf>
    <xf numFmtId="0" fontId="24" fillId="14" borderId="57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 wrapText="1"/>
    </xf>
    <xf numFmtId="0" fontId="15" fillId="11" borderId="65" xfId="0" applyFont="1" applyFill="1" applyBorder="1" applyAlignment="1" applyProtection="1">
      <alignment horizontal="center" vertical="center"/>
    </xf>
    <xf numFmtId="0" fontId="15" fillId="11" borderId="66" xfId="0" applyFont="1" applyFill="1" applyBorder="1" applyAlignment="1" applyProtection="1">
      <alignment horizontal="center" vertical="center"/>
    </xf>
    <xf numFmtId="0" fontId="15" fillId="14" borderId="30" xfId="0" applyFont="1" applyFill="1" applyBorder="1" applyAlignment="1" applyProtection="1">
      <alignment horizontal="center" vertical="center"/>
    </xf>
    <xf numFmtId="0" fontId="15" fillId="14" borderId="32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5" fillId="3" borderId="36" xfId="0" applyFont="1" applyFill="1" applyBorder="1" applyAlignment="1" applyProtection="1">
      <alignment horizontal="center" vertical="center"/>
    </xf>
    <xf numFmtId="0" fontId="15" fillId="3" borderId="37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38" xfId="0" applyFont="1" applyFill="1" applyBorder="1" applyAlignment="1" applyProtection="1">
      <alignment horizontal="center" vertical="center"/>
    </xf>
    <xf numFmtId="0" fontId="15" fillId="3" borderId="48" xfId="0" applyFont="1" applyFill="1" applyBorder="1" applyAlignment="1" applyProtection="1">
      <alignment horizontal="center" vertical="center"/>
    </xf>
    <xf numFmtId="0" fontId="15" fillId="3" borderId="21" xfId="0" applyFont="1" applyFill="1" applyBorder="1" applyAlignment="1" applyProtection="1">
      <alignment horizontal="center" vertical="center"/>
    </xf>
    <xf numFmtId="0" fontId="15" fillId="3" borderId="62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4" borderId="4" xfId="61" applyFont="1" applyFill="1" applyBorder="1" applyAlignment="1" applyProtection="1">
      <alignment horizontal="center" vertical="center"/>
      <protection locked="0"/>
    </xf>
    <xf numFmtId="0" fontId="15" fillId="11" borderId="4" xfId="0" applyFont="1" applyFill="1" applyBorder="1" applyAlignment="1" applyProtection="1">
      <alignment horizontal="center" vertical="center" textRotation="90" wrapText="1"/>
    </xf>
    <xf numFmtId="0" fontId="15" fillId="11" borderId="15" xfId="0" applyFont="1" applyFill="1" applyBorder="1" applyAlignment="1" applyProtection="1">
      <alignment horizontal="center" vertical="center" textRotation="90" wrapText="1"/>
    </xf>
    <xf numFmtId="0" fontId="15" fillId="11" borderId="56" xfId="0" applyFont="1" applyFill="1" applyBorder="1" applyAlignment="1" applyProtection="1">
      <alignment horizontal="center" vertical="center" textRotation="90" wrapText="1"/>
    </xf>
    <xf numFmtId="0" fontId="15" fillId="11" borderId="4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center" vertical="center"/>
    </xf>
    <xf numFmtId="0" fontId="15" fillId="2" borderId="46" xfId="0" applyFont="1" applyFill="1" applyBorder="1" applyAlignment="1" applyProtection="1">
      <alignment horizontal="center" vertical="center"/>
    </xf>
    <xf numFmtId="0" fontId="15" fillId="2" borderId="15" xfId="0" applyFont="1" applyFill="1" applyBorder="1" applyAlignment="1" applyProtection="1">
      <alignment horizontal="center" vertical="center"/>
    </xf>
    <xf numFmtId="0" fontId="15" fillId="2" borderId="45" xfId="0" applyFont="1" applyFill="1" applyBorder="1" applyAlignment="1" applyProtection="1">
      <alignment horizontal="center" vertical="center"/>
    </xf>
    <xf numFmtId="0" fontId="15" fillId="3" borderId="64" xfId="0" applyFont="1" applyFill="1" applyBorder="1" applyAlignment="1" applyProtection="1">
      <alignment horizontal="center"/>
    </xf>
    <xf numFmtId="0" fontId="15" fillId="3" borderId="65" xfId="0" applyFont="1" applyFill="1" applyBorder="1" applyAlignment="1" applyProtection="1">
      <alignment horizontal="center"/>
    </xf>
    <xf numFmtId="0" fontId="15" fillId="3" borderId="40" xfId="0" applyFont="1" applyFill="1" applyBorder="1" applyAlignment="1" applyProtection="1">
      <alignment horizontal="center"/>
    </xf>
    <xf numFmtId="0" fontId="15" fillId="3" borderId="18" xfId="0" applyFont="1" applyFill="1" applyBorder="1" applyAlignment="1" applyProtection="1">
      <alignment horizontal="center"/>
    </xf>
    <xf numFmtId="0" fontId="15" fillId="3" borderId="66" xfId="0" applyFont="1" applyFill="1" applyBorder="1" applyAlignment="1" applyProtection="1">
      <alignment horizontal="center"/>
    </xf>
    <xf numFmtId="0" fontId="15" fillId="3" borderId="59" xfId="0" applyFont="1" applyFill="1" applyBorder="1" applyAlignment="1" applyProtection="1">
      <alignment horizontal="center"/>
    </xf>
    <xf numFmtId="0" fontId="15" fillId="3" borderId="39" xfId="0" applyFont="1" applyFill="1" applyBorder="1" applyAlignment="1" applyProtection="1">
      <alignment horizontal="center"/>
    </xf>
    <xf numFmtId="0" fontId="15" fillId="3" borderId="4" xfId="0" applyFont="1" applyFill="1" applyBorder="1" applyAlignment="1" applyProtection="1">
      <alignment horizontal="center"/>
    </xf>
    <xf numFmtId="0" fontId="15" fillId="3" borderId="55" xfId="0" applyFont="1" applyFill="1" applyBorder="1" applyAlignment="1" applyProtection="1">
      <alignment horizontal="center"/>
    </xf>
    <xf numFmtId="0" fontId="15" fillId="3" borderId="56" xfId="0" applyFont="1" applyFill="1" applyBorder="1" applyAlignment="1" applyProtection="1">
      <alignment horizontal="center"/>
    </xf>
    <xf numFmtId="0" fontId="15" fillId="3" borderId="52" xfId="0" applyFont="1" applyFill="1" applyBorder="1" applyAlignment="1" applyProtection="1">
      <alignment horizontal="center"/>
    </xf>
    <xf numFmtId="0" fontId="15" fillId="3" borderId="20" xfId="0" applyFont="1" applyFill="1" applyBorder="1" applyAlignment="1" applyProtection="1">
      <alignment horizontal="center"/>
    </xf>
    <xf numFmtId="167" fontId="15" fillId="6" borderId="45" xfId="0" applyNumberFormat="1" applyFont="1" applyFill="1" applyBorder="1" applyAlignment="1" applyProtection="1">
      <alignment horizontal="center" vertical="center"/>
      <protection locked="0"/>
    </xf>
    <xf numFmtId="167" fontId="15" fillId="6" borderId="8" xfId="0" applyNumberFormat="1" applyFont="1" applyFill="1" applyBorder="1" applyAlignment="1" applyProtection="1">
      <alignment horizontal="center" vertical="center"/>
      <protection locked="0"/>
    </xf>
    <xf numFmtId="167" fontId="15" fillId="6" borderId="39" xfId="0" applyNumberFormat="1" applyFont="1" applyFill="1" applyBorder="1" applyAlignment="1" applyProtection="1">
      <alignment horizontal="center" vertical="center"/>
      <protection locked="0"/>
    </xf>
    <xf numFmtId="167" fontId="15" fillId="6" borderId="4" xfId="0" applyNumberFormat="1" applyFont="1" applyFill="1" applyBorder="1" applyAlignment="1" applyProtection="1">
      <alignment horizontal="center" vertical="center"/>
      <protection locked="0"/>
    </xf>
    <xf numFmtId="167" fontId="15" fillId="6" borderId="55" xfId="0" applyNumberFormat="1" applyFont="1" applyFill="1" applyBorder="1" applyAlignment="1" applyProtection="1">
      <alignment horizontal="center" vertical="center"/>
      <protection locked="0"/>
    </xf>
    <xf numFmtId="167" fontId="15" fillId="6" borderId="56" xfId="0" applyNumberFormat="1" applyFont="1" applyFill="1" applyBorder="1" applyAlignment="1" applyProtection="1">
      <alignment horizontal="center" vertical="center"/>
      <protection locked="0"/>
    </xf>
    <xf numFmtId="0" fontId="15" fillId="2" borderId="39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/>
    </xf>
    <xf numFmtId="0" fontId="15" fillId="3" borderId="56" xfId="0" applyFont="1" applyFill="1" applyBorder="1" applyAlignment="1" applyProtection="1">
      <alignment horizontal="center" vertical="center" wrapText="1"/>
    </xf>
    <xf numFmtId="0" fontId="15" fillId="2" borderId="53" xfId="0" applyFont="1" applyFill="1" applyBorder="1" applyAlignment="1" applyProtection="1">
      <alignment horizontal="center" vertical="center"/>
    </xf>
    <xf numFmtId="0" fontId="15" fillId="2" borderId="54" xfId="0" applyFont="1" applyFill="1" applyBorder="1" applyAlignment="1" applyProtection="1">
      <alignment horizontal="center" vertical="center"/>
    </xf>
    <xf numFmtId="0" fontId="15" fillId="3" borderId="20" xfId="0" applyFont="1" applyFill="1" applyBorder="1" applyAlignment="1" applyProtection="1">
      <alignment horizontal="center" vertical="center" wrapText="1"/>
    </xf>
    <xf numFmtId="0" fontId="15" fillId="2" borderId="40" xfId="0" applyFont="1" applyFill="1" applyBorder="1" applyAlignment="1" applyProtection="1">
      <alignment horizontal="center" vertical="center"/>
    </xf>
    <xf numFmtId="0" fontId="15" fillId="2" borderId="18" xfId="0" applyFont="1" applyFill="1" applyBorder="1" applyAlignment="1" applyProtection="1">
      <alignment horizontal="center" vertical="center"/>
    </xf>
    <xf numFmtId="0" fontId="15" fillId="2" borderId="59" xfId="0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 applyProtection="1">
      <alignment horizontal="center" vertical="center"/>
    </xf>
    <xf numFmtId="0" fontId="15" fillId="2" borderId="20" xfId="0" applyFont="1" applyFill="1" applyBorder="1" applyAlignment="1" applyProtection="1">
      <alignment horizontal="center" vertical="center"/>
    </xf>
    <xf numFmtId="0" fontId="15" fillId="2" borderId="52" xfId="0" applyFont="1" applyFill="1" applyBorder="1" applyAlignment="1" applyProtection="1">
      <alignment horizontal="center" vertical="center"/>
    </xf>
    <xf numFmtId="0" fontId="15" fillId="11" borderId="4" xfId="0" applyFont="1" applyFill="1" applyBorder="1" applyAlignment="1" applyProtection="1">
      <alignment horizontal="center" vertical="center"/>
    </xf>
    <xf numFmtId="0" fontId="15" fillId="11" borderId="39" xfId="0" applyFont="1" applyFill="1" applyBorder="1" applyAlignment="1" applyProtection="1">
      <alignment horizontal="center" vertical="center"/>
    </xf>
    <xf numFmtId="0" fontId="15" fillId="14" borderId="53" xfId="0" applyFont="1" applyFill="1" applyBorder="1" applyAlignment="1" applyProtection="1">
      <alignment horizontal="center" vertical="center"/>
    </xf>
    <xf numFmtId="0" fontId="15" fillId="14" borderId="5" xfId="0" applyFont="1" applyFill="1" applyBorder="1" applyAlignment="1" applyProtection="1">
      <alignment horizontal="center" vertical="center"/>
    </xf>
    <xf numFmtId="0" fontId="15" fillId="14" borderId="54" xfId="0" applyFont="1" applyFill="1" applyBorder="1" applyAlignment="1" applyProtection="1">
      <alignment horizontal="center" vertical="center"/>
    </xf>
    <xf numFmtId="0" fontId="15" fillId="2" borderId="56" xfId="0" applyFont="1" applyFill="1" applyBorder="1" applyAlignment="1" applyProtection="1">
      <alignment horizontal="center" vertical="center"/>
    </xf>
    <xf numFmtId="0" fontId="15" fillId="2" borderId="57" xfId="0" applyFont="1" applyFill="1" applyBorder="1" applyAlignment="1" applyProtection="1">
      <alignment horizontal="center" vertical="center"/>
    </xf>
    <xf numFmtId="0" fontId="15" fillId="3" borderId="55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 applyProtection="1">
      <alignment horizontal="center" vertical="center"/>
    </xf>
    <xf numFmtId="0" fontId="15" fillId="11" borderId="63" xfId="61" applyFont="1" applyFill="1" applyBorder="1" applyAlignment="1" applyProtection="1">
      <alignment horizontal="center" vertical="center"/>
      <protection locked="0"/>
    </xf>
    <xf numFmtId="0" fontId="15" fillId="11" borderId="67" xfId="61" applyFont="1" applyFill="1" applyBorder="1" applyAlignment="1" applyProtection="1">
      <alignment horizontal="center" vertical="center"/>
      <protection locked="0"/>
    </xf>
    <xf numFmtId="0" fontId="15" fillId="11" borderId="68" xfId="6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5" fillId="11" borderId="5" xfId="0" applyFont="1" applyFill="1" applyBorder="1" applyAlignment="1" applyProtection="1">
      <alignment horizontal="center"/>
    </xf>
    <xf numFmtId="0" fontId="15" fillId="11" borderId="54" xfId="0" applyFont="1" applyFill="1" applyBorder="1" applyAlignment="1" applyProtection="1">
      <alignment horizontal="center"/>
    </xf>
    <xf numFmtId="0" fontId="15" fillId="3" borderId="57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 wrapText="1"/>
    </xf>
    <xf numFmtId="0" fontId="23" fillId="3" borderId="0" xfId="0" applyFont="1" applyFill="1" applyBorder="1" applyAlignment="1" applyProtection="1">
      <alignment horizontal="center" vertical="center"/>
    </xf>
    <xf numFmtId="169" fontId="23" fillId="3" borderId="0" xfId="0" applyNumberFormat="1" applyFont="1" applyFill="1" applyBorder="1" applyAlignment="1" applyProtection="1">
      <alignment horizontal="center" vertical="center"/>
    </xf>
    <xf numFmtId="169" fontId="23" fillId="3" borderId="38" xfId="0" applyNumberFormat="1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right" vertical="center" wrapText="1"/>
    </xf>
    <xf numFmtId="0" fontId="17" fillId="3" borderId="65" xfId="0" applyFont="1" applyFill="1" applyBorder="1" applyAlignment="1" applyProtection="1">
      <alignment horizontal="center" vertical="center"/>
    </xf>
    <xf numFmtId="0" fontId="17" fillId="3" borderId="18" xfId="0" applyFont="1" applyFill="1" applyBorder="1" applyAlignment="1" applyProtection="1">
      <alignment horizontal="center" vertical="center"/>
    </xf>
    <xf numFmtId="0" fontId="15" fillId="2" borderId="66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/>
    </xf>
    <xf numFmtId="0" fontId="15" fillId="3" borderId="38" xfId="0" applyFont="1" applyFill="1" applyBorder="1" applyAlignment="1" applyProtection="1">
      <alignment horizontal="center"/>
    </xf>
    <xf numFmtId="0" fontId="15" fillId="3" borderId="0" xfId="0" applyFont="1" applyFill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center" vertical="center"/>
      <protection locked="0"/>
    </xf>
    <xf numFmtId="0" fontId="15" fillId="11" borderId="6" xfId="0" applyFont="1" applyFill="1" applyBorder="1" applyAlignment="1" applyProtection="1">
      <alignment horizontal="center" vertical="center"/>
    </xf>
    <xf numFmtId="0" fontId="15" fillId="11" borderId="69" xfId="0" applyFont="1" applyFill="1" applyBorder="1" applyAlignment="1" applyProtection="1">
      <alignment horizontal="center" vertical="center"/>
    </xf>
    <xf numFmtId="0" fontId="15" fillId="11" borderId="70" xfId="0" applyFont="1" applyFill="1" applyBorder="1" applyAlignment="1" applyProtection="1">
      <alignment horizontal="center" vertical="center"/>
    </xf>
    <xf numFmtId="0" fontId="15" fillId="11" borderId="71" xfId="0" applyFont="1" applyFill="1" applyBorder="1" applyAlignment="1" applyProtection="1">
      <alignment horizontal="center" vertical="center"/>
    </xf>
    <xf numFmtId="0" fontId="16" fillId="3" borderId="56" xfId="0" applyFont="1" applyFill="1" applyBorder="1" applyAlignment="1" applyProtection="1">
      <alignment horizontal="center" vertical="center" wrapText="1"/>
    </xf>
    <xf numFmtId="49" fontId="15" fillId="0" borderId="8" xfId="0" applyNumberFormat="1" applyFont="1" applyFill="1" applyBorder="1" applyAlignment="1" applyProtection="1">
      <alignment horizontal="center" vertical="center"/>
      <protection locked="0"/>
    </xf>
    <xf numFmtId="0" fontId="15" fillId="11" borderId="6" xfId="0" applyFont="1" applyFill="1" applyBorder="1" applyAlignment="1" applyProtection="1">
      <alignment horizontal="center" vertical="center" textRotation="90"/>
    </xf>
    <xf numFmtId="0" fontId="15" fillId="11" borderId="19" xfId="0" applyFont="1" applyFill="1" applyBorder="1" applyAlignment="1" applyProtection="1">
      <alignment horizontal="center" vertical="center" textRotation="90"/>
    </xf>
    <xf numFmtId="0" fontId="15" fillId="3" borderId="39" xfId="0" applyFont="1" applyFill="1" applyBorder="1" applyAlignment="1" applyProtection="1">
      <alignment horizontal="center" vertical="center"/>
    </xf>
    <xf numFmtId="0" fontId="12" fillId="8" borderId="30" xfId="61" applyFont="1" applyFill="1" applyBorder="1" applyAlignment="1">
      <alignment horizontal="center" wrapText="1"/>
    </xf>
    <xf numFmtId="0" fontId="12" fillId="8" borderId="31" xfId="61" applyFont="1" applyFill="1" applyBorder="1" applyAlignment="1">
      <alignment horizontal="center" wrapText="1"/>
    </xf>
    <xf numFmtId="0" fontId="12" fillId="8" borderId="32" xfId="61" applyFont="1" applyFill="1" applyBorder="1" applyAlignment="1">
      <alignment horizontal="center" wrapText="1"/>
    </xf>
    <xf numFmtId="0" fontId="12" fillId="0" borderId="30" xfId="61" applyFont="1" applyBorder="1" applyAlignment="1">
      <alignment horizontal="center" vertical="center" wrapText="1"/>
    </xf>
    <xf numFmtId="0" fontId="12" fillId="0" borderId="32" xfId="61" applyFont="1" applyBorder="1" applyAlignment="1">
      <alignment horizontal="center" vertical="center" wrapText="1"/>
    </xf>
  </cellXfs>
  <cellStyles count="67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  <cellStyle name="Normal 2" xfId="2"/>
    <cellStyle name="Normal 3" xfId="61"/>
    <cellStyle name="Normal 3 2" xfId="62"/>
    <cellStyle name="Normal 3 2 2" xfId="64"/>
    <cellStyle name="Normal 3 2 3" xfId="66"/>
    <cellStyle name="Normal 3 3" xfId="63"/>
    <cellStyle name="Normal 3 4" xfId="65"/>
    <cellStyle name="Percent" xfId="1" builtinId="5"/>
  </cellStyles>
  <dxfs count="76"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ill>
        <patternFill patternType="darkGray"/>
      </fill>
    </dxf>
    <dxf>
      <fill>
        <patternFill patternType="darkGray">
          <bgColor indexed="65"/>
        </patternFill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>
          <bgColor indexed="65"/>
        </patternFill>
      </fill>
    </dxf>
    <dxf>
      <fill>
        <patternFill patternType="darkGray"/>
      </fill>
    </dxf>
    <dxf>
      <fill>
        <patternFill patternType="darkGray">
          <bgColor indexed="65"/>
        </patternFill>
      </fill>
    </dxf>
    <dxf>
      <fill>
        <patternFill patternType="darkGray"/>
      </fill>
    </dxf>
    <dxf>
      <fill>
        <patternFill patternType="darkGray"/>
      </fill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7"/>
      </font>
    </dxf>
    <dxf>
      <fill>
        <patternFill patternType="darkGray"/>
      </fill>
    </dxf>
    <dxf>
      <fill>
        <patternFill patternType="darkGray"/>
      </fill>
    </dxf>
    <dxf>
      <fill>
        <patternFill patternType="darkGray">
          <bgColor theme="0" tint="-0.24994659260841701"/>
        </patternFill>
      </fill>
    </dxf>
    <dxf>
      <fill>
        <patternFill patternType="darkGray"/>
      </fill>
    </dxf>
    <dxf>
      <fill>
        <patternFill patternType="darkGray">
          <bgColor indexed="65"/>
        </patternFill>
      </fill>
    </dxf>
    <dxf>
      <fill>
        <patternFill patternType="darkGray"/>
      </fill>
    </dxf>
    <dxf>
      <fill>
        <patternFill>
          <bgColor indexed="63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strike val="0"/>
        <color rgb="FF9C0006"/>
      </font>
      <fill>
        <patternFill>
          <fgColor auto="1"/>
          <bgColor auto="1"/>
        </patternFill>
      </fill>
    </dxf>
    <dxf>
      <font>
        <b/>
        <i val="0"/>
        <strike val="0"/>
        <color rgb="FF008000"/>
      </font>
      <fill>
        <patternFill>
          <fgColor auto="1"/>
          <bgColor auto="1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0"/>
      </font>
    </dxf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152</xdr:row>
      <xdr:rowOff>95250</xdr:rowOff>
    </xdr:from>
    <xdr:to>
      <xdr:col>12</xdr:col>
      <xdr:colOff>30602</xdr:colOff>
      <xdr:row>164</xdr:row>
      <xdr:rowOff>17191</xdr:rowOff>
    </xdr:to>
    <xdr:pic>
      <xdr:nvPicPr>
        <xdr:cNvPr id="8249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071175"/>
          <a:ext cx="35337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233789</xdr:colOff>
      <xdr:row>1</xdr:row>
      <xdr:rowOff>18665</xdr:rowOff>
    </xdr:from>
    <xdr:to>
      <xdr:col>3</xdr:col>
      <xdr:colOff>111673</xdr:colOff>
      <xdr:row>6</xdr:row>
      <xdr:rowOff>27318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617" y="97493"/>
          <a:ext cx="587332" cy="619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T201"/>
  <sheetViews>
    <sheetView showGridLines="0" tabSelected="1" view="pageBreakPreview" topLeftCell="A61" zoomScale="130" zoomScaleNormal="55" zoomScaleSheetLayoutView="130" zoomScalePageLayoutView="130" workbookViewId="0">
      <selection activeCell="O22" sqref="O22"/>
    </sheetView>
  </sheetViews>
  <sheetFormatPr defaultColWidth="5.140625" defaultRowHeight="8.25" customHeight="1" x14ac:dyDescent="0.15"/>
  <cols>
    <col min="1" max="1" width="1.140625" style="81" customWidth="1"/>
    <col min="2" max="4" width="5.28515625" style="40" customWidth="1"/>
    <col min="5" max="26" width="5.28515625" style="81" customWidth="1"/>
    <col min="27" max="27" width="5" style="110" customWidth="1"/>
    <col min="28" max="28" width="5.28515625" style="110" bestFit="1" customWidth="1"/>
    <col min="29" max="29" width="6" style="110" customWidth="1"/>
    <col min="30" max="31" width="5.140625" style="110"/>
    <col min="32" max="34" width="5.28515625" style="110" bestFit="1" customWidth="1"/>
    <col min="35" max="36" width="5.140625" style="123"/>
    <col min="37" max="37" width="5.85546875" style="97" bestFit="1" customWidth="1"/>
    <col min="38" max="38" width="6.85546875" style="125" bestFit="1" customWidth="1"/>
    <col min="39" max="40" width="5.28515625" style="81" bestFit="1" customWidth="1"/>
    <col min="41" max="41" width="5.140625" style="81"/>
    <col min="42" max="42" width="5.85546875" style="81" customWidth="1"/>
    <col min="43" max="43" width="5.7109375" style="81" customWidth="1"/>
    <col min="44" max="44" width="5.7109375" style="81" bestFit="1" customWidth="1"/>
    <col min="45" max="46" width="5.28515625" style="81" customWidth="1"/>
    <col min="47" max="48" width="5.28515625" style="81" bestFit="1" customWidth="1"/>
    <col min="49" max="49" width="6" style="81" bestFit="1" customWidth="1"/>
    <col min="50" max="50" width="5.7109375" style="81" customWidth="1"/>
    <col min="51" max="51" width="5.140625" style="81"/>
    <col min="52" max="53" width="5.28515625" style="81" customWidth="1"/>
    <col min="54" max="55" width="5.28515625" style="81" bestFit="1" customWidth="1"/>
    <col min="56" max="56" width="8.28515625" style="81" customWidth="1"/>
    <col min="57" max="57" width="5.7109375" style="81" customWidth="1"/>
    <col min="58" max="58" width="5.28515625" style="81" bestFit="1" customWidth="1"/>
    <col min="59" max="60" width="5.28515625" style="81" customWidth="1"/>
    <col min="61" max="61" width="5.28515625" style="81" bestFit="1" customWidth="1"/>
    <col min="62" max="62" width="5.140625" style="81"/>
    <col min="63" max="63" width="7.85546875" style="81" customWidth="1"/>
    <col min="64" max="64" width="5.140625" style="81"/>
    <col min="65" max="65" width="5.28515625" style="81" bestFit="1" customWidth="1"/>
    <col min="66" max="66" width="5.140625" style="81"/>
    <col min="67" max="67" width="5.7109375" style="81" customWidth="1"/>
    <col min="68" max="71" width="5.140625" style="81"/>
    <col min="72" max="72" width="7" style="81" customWidth="1"/>
    <col min="73" max="75" width="5.140625" style="81"/>
    <col min="76" max="76" width="6.7109375" style="81" customWidth="1"/>
    <col min="77" max="77" width="5.7109375" style="81" customWidth="1"/>
    <col min="78" max="79" width="5.28515625" style="81" customWidth="1"/>
    <col min="80" max="81" width="5.140625" style="81"/>
    <col min="82" max="82" width="5.28515625" style="81" bestFit="1" customWidth="1"/>
    <col min="83" max="83" width="5.140625" style="81"/>
    <col min="84" max="84" width="5.7109375" style="81" customWidth="1"/>
    <col min="85" max="85" width="5.140625" style="81"/>
    <col min="86" max="87" width="5.28515625" style="81" customWidth="1"/>
    <col min="88" max="89" width="5.140625" style="81"/>
    <col min="90" max="90" width="5.85546875" style="81" bestFit="1" customWidth="1"/>
    <col min="91" max="91" width="5.7109375" style="81" customWidth="1"/>
    <col min="92" max="92" width="5.28515625" style="81" bestFit="1" customWidth="1"/>
    <col min="93" max="94" width="5.28515625" style="81" customWidth="1"/>
    <col min="95" max="105" width="5.140625" style="81"/>
    <col min="106" max="106" width="6.5703125" style="81" customWidth="1"/>
    <col min="107" max="109" width="5.140625" style="81"/>
    <col min="110" max="110" width="7" style="81" customWidth="1"/>
    <col min="111" max="16384" width="5.140625" style="81"/>
  </cols>
  <sheetData>
    <row r="1" spans="2:176" ht="6" customHeight="1" thickBot="1" x14ac:dyDescent="0.2">
      <c r="AA1" s="82"/>
      <c r="AB1" s="82"/>
      <c r="AC1" s="82"/>
      <c r="AD1" s="82"/>
      <c r="AE1" s="82"/>
      <c r="AF1" s="82"/>
      <c r="AG1" s="82"/>
      <c r="AH1" s="41"/>
      <c r="AI1" s="42"/>
      <c r="AJ1" s="42"/>
      <c r="AK1" s="53"/>
      <c r="AL1" s="83"/>
      <c r="AM1" s="53"/>
      <c r="AN1" s="53"/>
    </row>
    <row r="2" spans="2:176" ht="6" customHeight="1" x14ac:dyDescent="0.15">
      <c r="B2" s="203"/>
      <c r="C2" s="204"/>
      <c r="D2" s="222"/>
      <c r="E2" s="223"/>
      <c r="F2" s="223"/>
      <c r="G2" s="223"/>
      <c r="H2" s="223"/>
      <c r="I2" s="223"/>
      <c r="J2" s="223"/>
      <c r="K2" s="223"/>
      <c r="L2" s="223"/>
      <c r="M2" s="223"/>
      <c r="N2" s="224"/>
      <c r="O2" s="225"/>
      <c r="P2" s="225"/>
      <c r="Q2" s="225"/>
      <c r="R2" s="225"/>
      <c r="S2" s="225"/>
      <c r="T2" s="225"/>
      <c r="U2" s="225"/>
      <c r="V2" s="159"/>
      <c r="W2" s="396" t="s">
        <v>129</v>
      </c>
      <c r="X2" s="396"/>
      <c r="Y2" s="396"/>
      <c r="Z2" s="398" t="s">
        <v>132</v>
      </c>
      <c r="AA2" s="41"/>
      <c r="AB2" s="41"/>
      <c r="AC2" s="41"/>
      <c r="AD2" s="41"/>
      <c r="AE2" s="41"/>
      <c r="AF2" s="41"/>
      <c r="AG2" s="41"/>
      <c r="AH2" s="41"/>
      <c r="AI2" s="42"/>
      <c r="AJ2" s="42"/>
      <c r="AK2" s="41"/>
      <c r="AL2" s="43"/>
      <c r="AM2" s="53"/>
      <c r="AN2" s="53"/>
    </row>
    <row r="3" spans="2:176" ht="12.75" customHeight="1" x14ac:dyDescent="0.15">
      <c r="B3" s="226"/>
      <c r="C3" s="44"/>
      <c r="D3" s="45"/>
      <c r="E3" s="391" t="s">
        <v>123</v>
      </c>
      <c r="F3" s="391"/>
      <c r="G3" s="391"/>
      <c r="H3" s="391"/>
      <c r="I3" s="391"/>
      <c r="J3" s="303" t="s">
        <v>121</v>
      </c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53"/>
      <c r="W3" s="397"/>
      <c r="X3" s="397"/>
      <c r="Y3" s="397"/>
      <c r="Z3" s="370"/>
      <c r="AA3" s="41"/>
      <c r="AB3" s="41"/>
      <c r="AC3" s="41"/>
      <c r="AD3" s="41"/>
      <c r="AE3" s="41"/>
      <c r="AF3" s="41"/>
      <c r="AG3" s="41"/>
      <c r="AH3" s="41"/>
      <c r="AI3" s="42"/>
      <c r="AJ3" s="42"/>
      <c r="AK3" s="41"/>
      <c r="AL3" s="43"/>
      <c r="AM3" s="53"/>
      <c r="AN3" s="53"/>
    </row>
    <row r="4" spans="2:176" ht="12.75" customHeight="1" x14ac:dyDescent="0.15">
      <c r="B4" s="226"/>
      <c r="C4" s="44"/>
      <c r="D4" s="45"/>
      <c r="E4" s="391"/>
      <c r="F4" s="391"/>
      <c r="G4" s="391"/>
      <c r="H4" s="391"/>
      <c r="I4" s="391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53"/>
      <c r="W4" s="392" t="str">
        <f>+IF(+ISTEXT(Z2),"","MASTER ")</f>
        <v/>
      </c>
      <c r="X4" s="392"/>
      <c r="Y4" s="393" t="str">
        <f ca="1">+IF(Z2="X","",+TODAY())</f>
        <v/>
      </c>
      <c r="Z4" s="394"/>
      <c r="AA4" s="41"/>
      <c r="AB4" s="41"/>
      <c r="AC4" s="41"/>
      <c r="AD4" s="41"/>
      <c r="AE4" s="41"/>
      <c r="AF4" s="41"/>
      <c r="AG4" s="41"/>
      <c r="AH4" s="41"/>
      <c r="AI4" s="42"/>
      <c r="AJ4" s="42"/>
      <c r="AK4" s="41"/>
      <c r="AL4" s="43"/>
      <c r="AM4" s="53"/>
      <c r="AN4" s="53"/>
    </row>
    <row r="5" spans="2:176" ht="12.75" customHeight="1" x14ac:dyDescent="0.2">
      <c r="B5" s="226"/>
      <c r="C5" s="44"/>
      <c r="D5" s="45"/>
      <c r="E5" s="391"/>
      <c r="F5" s="391"/>
      <c r="G5" s="391"/>
      <c r="H5" s="391"/>
      <c r="I5" s="391"/>
      <c r="J5" s="304" t="s">
        <v>131</v>
      </c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53"/>
      <c r="W5" s="392"/>
      <c r="X5" s="392"/>
      <c r="Y5" s="393"/>
      <c r="Z5" s="394"/>
      <c r="AA5" s="41"/>
      <c r="AB5" s="41"/>
      <c r="AC5" s="41"/>
      <c r="AD5" s="41"/>
      <c r="AE5" s="41"/>
      <c r="AF5" s="41"/>
      <c r="AG5" s="41"/>
      <c r="AH5" s="41"/>
      <c r="AI5" s="387"/>
      <c r="AJ5" s="387"/>
      <c r="AK5" s="387"/>
      <c r="AL5" s="387"/>
      <c r="AM5" s="387"/>
      <c r="AN5" s="387"/>
    </row>
    <row r="6" spans="2:176" ht="3" customHeight="1" x14ac:dyDescent="0.15">
      <c r="B6" s="226"/>
      <c r="C6" s="44"/>
      <c r="D6" s="45"/>
      <c r="E6" s="279"/>
      <c r="F6" s="279"/>
      <c r="G6" s="279"/>
      <c r="H6" s="279"/>
      <c r="I6" s="279"/>
      <c r="J6" s="53"/>
      <c r="K6" s="53"/>
      <c r="L6" s="151"/>
      <c r="M6" s="151"/>
      <c r="N6" s="53"/>
      <c r="O6" s="53"/>
      <c r="P6" s="53"/>
      <c r="Q6" s="53"/>
      <c r="R6" s="53"/>
      <c r="S6" s="53"/>
      <c r="T6" s="53"/>
      <c r="U6" s="53"/>
      <c r="V6" s="53"/>
      <c r="W6" s="399"/>
      <c r="X6" s="399"/>
      <c r="Y6" s="399"/>
      <c r="Z6" s="400"/>
      <c r="AA6" s="41"/>
      <c r="AB6" s="47"/>
      <c r="AC6" s="84"/>
      <c r="AD6" s="48"/>
      <c r="AE6" s="41"/>
      <c r="AF6" s="41"/>
      <c r="AG6" s="41"/>
      <c r="AH6" s="41"/>
      <c r="AI6" s="387"/>
      <c r="AJ6" s="387"/>
      <c r="AK6" s="387"/>
      <c r="AL6" s="387"/>
      <c r="AM6" s="387"/>
      <c r="AN6" s="387"/>
    </row>
    <row r="7" spans="2:176" ht="3" customHeight="1" thickBot="1" x14ac:dyDescent="0.2">
      <c r="B7" s="226"/>
      <c r="C7" s="44"/>
      <c r="D7" s="45"/>
      <c r="E7" s="279"/>
      <c r="F7" s="279"/>
      <c r="G7" s="279"/>
      <c r="H7" s="279"/>
      <c r="I7" s="279"/>
      <c r="J7" s="53"/>
      <c r="K7" s="53"/>
      <c r="L7" s="53"/>
      <c r="M7" s="53"/>
      <c r="N7" s="53"/>
      <c r="O7" s="53"/>
      <c r="P7" s="50"/>
      <c r="Q7" s="53"/>
      <c r="R7" s="53"/>
      <c r="S7" s="53"/>
      <c r="T7" s="53"/>
      <c r="U7" s="53"/>
      <c r="V7" s="53"/>
      <c r="W7" s="399"/>
      <c r="X7" s="399"/>
      <c r="Y7" s="399"/>
      <c r="Z7" s="400"/>
      <c r="AA7" s="41"/>
      <c r="AB7" s="47"/>
      <c r="AC7" s="84"/>
      <c r="AD7" s="84"/>
      <c r="AE7" s="41"/>
      <c r="AF7" s="41"/>
      <c r="AG7" s="41"/>
      <c r="AH7" s="41"/>
      <c r="AI7" s="387"/>
      <c r="AJ7" s="387"/>
      <c r="AK7" s="387"/>
      <c r="AL7" s="387"/>
      <c r="AM7" s="387"/>
      <c r="AN7" s="387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Y7" s="49"/>
      <c r="BZ7" s="49"/>
      <c r="CA7" s="49"/>
      <c r="CF7" s="49"/>
      <c r="CH7" s="49"/>
      <c r="CI7" s="49"/>
      <c r="CM7" s="49"/>
      <c r="CO7" s="49"/>
      <c r="CP7" s="49"/>
    </row>
    <row r="8" spans="2:176" ht="9" customHeight="1" x14ac:dyDescent="0.15">
      <c r="B8" s="365" t="s">
        <v>2</v>
      </c>
      <c r="C8" s="299"/>
      <c r="D8" s="299"/>
      <c r="E8" s="299"/>
      <c r="F8" s="299"/>
      <c r="G8" s="299"/>
      <c r="H8" s="299"/>
      <c r="I8" s="299"/>
      <c r="J8" s="299" t="s">
        <v>126</v>
      </c>
      <c r="K8" s="299"/>
      <c r="L8" s="297"/>
      <c r="M8" s="297"/>
      <c r="N8" s="297"/>
      <c r="O8" s="297"/>
      <c r="P8" s="297"/>
      <c r="Q8" s="299" t="s">
        <v>125</v>
      </c>
      <c r="R8" s="299"/>
      <c r="S8" s="297"/>
      <c r="T8" s="297"/>
      <c r="U8" s="297"/>
      <c r="V8" s="297"/>
      <c r="W8" s="297"/>
      <c r="X8" s="297"/>
      <c r="Y8" s="297"/>
      <c r="Z8" s="301"/>
      <c r="AA8" s="41"/>
      <c r="AB8" s="47"/>
      <c r="AC8" s="84"/>
      <c r="AD8" s="84"/>
      <c r="AE8" s="41"/>
      <c r="AF8" s="41"/>
      <c r="AG8" s="41"/>
      <c r="AH8" s="41"/>
      <c r="AI8" s="387"/>
      <c r="AJ8" s="387"/>
      <c r="AK8" s="387"/>
      <c r="AL8" s="387"/>
      <c r="AM8" s="387"/>
      <c r="AN8" s="387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Y8" s="49"/>
      <c r="BZ8" s="49"/>
      <c r="CA8" s="49"/>
      <c r="CF8" s="49"/>
      <c r="CH8" s="49"/>
      <c r="CI8" s="49"/>
      <c r="CM8" s="49"/>
      <c r="CO8" s="49"/>
      <c r="CP8" s="49"/>
    </row>
    <row r="9" spans="2:176" ht="5.25" customHeight="1" x14ac:dyDescent="0.15">
      <c r="B9" s="362"/>
      <c r="C9" s="300"/>
      <c r="D9" s="300"/>
      <c r="E9" s="300"/>
      <c r="F9" s="300"/>
      <c r="G9" s="300"/>
      <c r="H9" s="300"/>
      <c r="I9" s="300"/>
      <c r="J9" s="300"/>
      <c r="K9" s="300"/>
      <c r="L9" s="298"/>
      <c r="M9" s="298"/>
      <c r="N9" s="298"/>
      <c r="O9" s="298"/>
      <c r="P9" s="298"/>
      <c r="Q9" s="300"/>
      <c r="R9" s="300"/>
      <c r="S9" s="298"/>
      <c r="T9" s="298"/>
      <c r="U9" s="298"/>
      <c r="V9" s="298"/>
      <c r="W9" s="298"/>
      <c r="X9" s="298"/>
      <c r="Y9" s="298"/>
      <c r="Z9" s="302"/>
      <c r="AA9" s="50"/>
      <c r="AB9" s="47"/>
      <c r="AC9" s="84"/>
      <c r="AD9" s="84"/>
      <c r="AE9" s="50"/>
      <c r="AF9" s="50"/>
      <c r="AG9" s="50"/>
      <c r="AH9" s="50"/>
      <c r="AI9" s="51"/>
      <c r="AJ9" s="51"/>
      <c r="AK9" s="50" t="e">
        <f>+VLOOKUP(AK11,#REF!,2)</f>
        <v>#REF!</v>
      </c>
      <c r="AL9" s="52"/>
      <c r="AM9" s="53"/>
      <c r="AN9" s="53"/>
    </row>
    <row r="10" spans="2:176" ht="16.5" customHeight="1" thickBot="1" x14ac:dyDescent="0.2">
      <c r="B10" s="381" t="s">
        <v>127</v>
      </c>
      <c r="C10" s="305"/>
      <c r="D10" s="305"/>
      <c r="E10" s="305"/>
      <c r="F10" s="305"/>
      <c r="G10" s="305"/>
      <c r="H10" s="305"/>
      <c r="I10" s="305"/>
      <c r="J10" s="305"/>
      <c r="K10" s="305" t="s">
        <v>171</v>
      </c>
      <c r="L10" s="305"/>
      <c r="M10" s="305"/>
      <c r="N10" s="305"/>
      <c r="O10" s="305"/>
      <c r="P10" s="305"/>
      <c r="Q10" s="296" t="s">
        <v>128</v>
      </c>
      <c r="R10" s="296"/>
      <c r="S10" s="305"/>
      <c r="T10" s="305"/>
      <c r="U10" s="305"/>
      <c r="V10" s="305"/>
      <c r="W10" s="305"/>
      <c r="X10" s="305"/>
      <c r="Y10" s="305"/>
      <c r="Z10" s="390"/>
      <c r="AA10" s="50"/>
      <c r="AB10" s="50"/>
      <c r="AC10" s="50"/>
      <c r="AD10" s="50"/>
      <c r="AE10" s="50"/>
      <c r="AF10" s="50"/>
      <c r="AG10" s="50"/>
      <c r="AH10" s="50"/>
      <c r="AI10" s="51"/>
      <c r="AJ10" s="51"/>
      <c r="AK10" s="50"/>
      <c r="AL10" s="52"/>
      <c r="AM10" s="53"/>
      <c r="AN10" s="53"/>
    </row>
    <row r="11" spans="2:176" ht="12.75" customHeight="1" x14ac:dyDescent="0.15">
      <c r="B11" s="293">
        <v>1</v>
      </c>
      <c r="C11" s="294"/>
      <c r="D11" s="294"/>
      <c r="E11" s="294">
        <v>2</v>
      </c>
      <c r="F11" s="294"/>
      <c r="G11" s="294"/>
      <c r="H11" s="294">
        <v>3</v>
      </c>
      <c r="I11" s="294"/>
      <c r="J11" s="294"/>
      <c r="K11" s="403" t="s">
        <v>130</v>
      </c>
      <c r="L11" s="403"/>
      <c r="M11" s="403"/>
      <c r="N11" s="403"/>
      <c r="O11" s="403"/>
      <c r="P11" s="403"/>
      <c r="Q11" s="388">
        <v>1</v>
      </c>
      <c r="R11" s="388"/>
      <c r="S11" s="388"/>
      <c r="T11" s="388">
        <v>2</v>
      </c>
      <c r="U11" s="388"/>
      <c r="V11" s="388"/>
      <c r="W11" s="388"/>
      <c r="X11" s="388">
        <v>3</v>
      </c>
      <c r="Y11" s="388"/>
      <c r="Z11" s="389"/>
      <c r="AA11" s="50"/>
      <c r="AB11" s="50"/>
      <c r="AC11" s="50"/>
      <c r="AD11" s="50"/>
      <c r="AE11" s="50"/>
      <c r="AF11" s="50"/>
      <c r="AG11" s="50"/>
      <c r="AH11" s="50"/>
      <c r="AI11" s="51"/>
      <c r="AJ11" s="51"/>
      <c r="AK11" s="52">
        <v>41799</v>
      </c>
      <c r="AL11" s="52"/>
      <c r="AM11" s="53"/>
      <c r="AN11" s="53"/>
      <c r="AW11" s="401" t="s">
        <v>48</v>
      </c>
      <c r="AX11" s="401"/>
      <c r="AY11" s="401"/>
      <c r="AZ11" s="401"/>
      <c r="BA11" s="401"/>
      <c r="BB11" s="401"/>
      <c r="BC11" s="401"/>
      <c r="BD11" s="401"/>
      <c r="BE11" s="207"/>
      <c r="DA11" s="97"/>
      <c r="DB11" s="125"/>
      <c r="DC11" s="53"/>
      <c r="DD11" s="53"/>
      <c r="DJ11" s="115" t="s">
        <v>49</v>
      </c>
      <c r="DK11" s="115"/>
      <c r="DL11" s="115"/>
      <c r="DM11" s="115"/>
      <c r="DN11" s="115"/>
    </row>
    <row r="12" spans="2:176" ht="12.75" customHeight="1" x14ac:dyDescent="0.15">
      <c r="B12" s="362" t="s">
        <v>30</v>
      </c>
      <c r="C12" s="300"/>
      <c r="D12" s="86"/>
      <c r="E12" s="300" t="s">
        <v>30</v>
      </c>
      <c r="F12" s="300"/>
      <c r="G12" s="86"/>
      <c r="H12" s="300" t="s">
        <v>30</v>
      </c>
      <c r="I12" s="300"/>
      <c r="J12" s="86"/>
      <c r="K12" s="395" t="s">
        <v>41</v>
      </c>
      <c r="L12" s="395"/>
      <c r="M12" s="395"/>
      <c r="N12" s="86" t="s">
        <v>132</v>
      </c>
      <c r="O12" s="206" t="s">
        <v>124</v>
      </c>
      <c r="P12" s="246"/>
      <c r="Q12" s="300" t="s">
        <v>30</v>
      </c>
      <c r="R12" s="300"/>
      <c r="S12" s="86"/>
      <c r="T12" s="300" t="s">
        <v>30</v>
      </c>
      <c r="U12" s="300"/>
      <c r="V12" s="300"/>
      <c r="W12" s="86"/>
      <c r="X12" s="300" t="s">
        <v>30</v>
      </c>
      <c r="Y12" s="300"/>
      <c r="Z12" s="227"/>
      <c r="AA12" s="50"/>
      <c r="AB12" s="50"/>
      <c r="AC12" s="50"/>
      <c r="AD12" s="50"/>
      <c r="AE12" s="50"/>
      <c r="AF12" s="50"/>
      <c r="AG12" s="50"/>
      <c r="AH12" s="50"/>
      <c r="AI12" s="51"/>
      <c r="AJ12" s="51"/>
      <c r="AK12" s="50"/>
      <c r="AL12" s="52"/>
      <c r="AM12" s="53"/>
      <c r="AN12" s="53"/>
      <c r="AU12" s="81" t="s">
        <v>68</v>
      </c>
      <c r="AW12" s="53"/>
      <c r="AY12" s="53"/>
      <c r="BB12" s="53"/>
      <c r="DA12" s="97"/>
      <c r="DB12" s="125"/>
      <c r="DC12" s="53"/>
      <c r="DD12" s="53"/>
      <c r="DF12" s="118"/>
      <c r="DJ12" s="53"/>
      <c r="DK12" s="53"/>
      <c r="DL12" s="53"/>
    </row>
    <row r="13" spans="2:176" ht="12.75" customHeight="1" x14ac:dyDescent="0.15">
      <c r="B13" s="413" t="s">
        <v>29</v>
      </c>
      <c r="C13" s="298"/>
      <c r="D13" s="86"/>
      <c r="E13" s="298" t="s">
        <v>29</v>
      </c>
      <c r="F13" s="298"/>
      <c r="G13" s="86"/>
      <c r="H13" s="298" t="s">
        <v>29</v>
      </c>
      <c r="I13" s="298"/>
      <c r="J13" s="86"/>
      <c r="K13" s="395"/>
      <c r="L13" s="395"/>
      <c r="M13" s="395"/>
      <c r="N13" s="86"/>
      <c r="O13" s="205" t="s">
        <v>24</v>
      </c>
      <c r="P13" s="247"/>
      <c r="Q13" s="298" t="s">
        <v>29</v>
      </c>
      <c r="R13" s="298"/>
      <c r="S13" s="86"/>
      <c r="T13" s="298" t="s">
        <v>29</v>
      </c>
      <c r="U13" s="298"/>
      <c r="V13" s="298"/>
      <c r="W13" s="86"/>
      <c r="X13" s="298" t="s">
        <v>29</v>
      </c>
      <c r="Y13" s="298"/>
      <c r="Z13" s="227"/>
      <c r="AA13" s="50"/>
      <c r="AB13" s="50"/>
      <c r="AC13" s="50"/>
      <c r="AD13" s="50"/>
      <c r="AE13" s="50"/>
      <c r="AF13" s="50"/>
      <c r="AG13" s="50"/>
      <c r="AH13" s="50"/>
      <c r="AI13" s="51"/>
      <c r="AJ13" s="51"/>
      <c r="AK13" s="50"/>
      <c r="AL13" s="52"/>
      <c r="AM13" s="53"/>
      <c r="AN13" s="53"/>
      <c r="AW13" s="53"/>
      <c r="AY13" s="53"/>
      <c r="BB13" s="402" t="s">
        <v>46</v>
      </c>
      <c r="BS13" s="112"/>
      <c r="BT13" s="113"/>
      <c r="BU13" s="41"/>
      <c r="BV13" s="41"/>
      <c r="BW13" s="41"/>
      <c r="BX13" s="116"/>
      <c r="CB13" s="116"/>
      <c r="CC13" s="116"/>
      <c r="CE13" s="401" t="s">
        <v>47</v>
      </c>
      <c r="CF13" s="401"/>
      <c r="CG13" s="401"/>
      <c r="CH13" s="401"/>
      <c r="CI13" s="401"/>
      <c r="CJ13" s="401"/>
      <c r="CK13" s="401"/>
      <c r="CL13" s="401"/>
      <c r="CM13" s="207"/>
      <c r="CN13" s="72"/>
      <c r="DA13" s="97"/>
      <c r="DB13" s="125"/>
      <c r="DC13" s="53"/>
      <c r="DD13" s="53"/>
      <c r="DJ13" s="53"/>
      <c r="DK13" s="53"/>
      <c r="DL13" s="53"/>
    </row>
    <row r="14" spans="2:176" ht="12.75" customHeight="1" thickBot="1" x14ac:dyDescent="0.2">
      <c r="B14" s="381" t="s">
        <v>31</v>
      </c>
      <c r="C14" s="305"/>
      <c r="D14" s="231"/>
      <c r="E14" s="305" t="s">
        <v>31</v>
      </c>
      <c r="F14" s="305"/>
      <c r="G14" s="231"/>
      <c r="H14" s="305" t="s">
        <v>31</v>
      </c>
      <c r="I14" s="305"/>
      <c r="J14" s="231"/>
      <c r="K14" s="248"/>
      <c r="L14" s="248"/>
      <c r="M14" s="409" t="str">
        <f>+IF(AND(N12="X",N13="X"),"Error, check only one box","")</f>
        <v/>
      </c>
      <c r="N14" s="409"/>
      <c r="O14" s="409"/>
      <c r="P14" s="248"/>
      <c r="Q14" s="305" t="s">
        <v>31</v>
      </c>
      <c r="R14" s="305"/>
      <c r="S14" s="231"/>
      <c r="T14" s="305" t="s">
        <v>31</v>
      </c>
      <c r="U14" s="305"/>
      <c r="V14" s="305"/>
      <c r="W14" s="231"/>
      <c r="X14" s="305" t="s">
        <v>31</v>
      </c>
      <c r="Y14" s="305"/>
      <c r="Z14" s="232"/>
      <c r="AA14" s="46"/>
      <c r="AB14" s="46"/>
      <c r="AC14" s="46"/>
      <c r="AD14" s="46"/>
      <c r="AE14" s="46"/>
      <c r="AF14" s="46" t="s">
        <v>73</v>
      </c>
      <c r="AG14" s="46" t="s">
        <v>73</v>
      </c>
      <c r="AH14" s="46" t="s">
        <v>73</v>
      </c>
      <c r="AI14" s="89"/>
      <c r="AJ14" s="89"/>
      <c r="AK14" s="46"/>
      <c r="AL14" s="90"/>
      <c r="AM14" s="53"/>
      <c r="AN14" s="53"/>
      <c r="AO14" s="402" t="s">
        <v>33</v>
      </c>
      <c r="AP14" s="402"/>
      <c r="AQ14" s="402"/>
      <c r="AR14" s="402"/>
      <c r="AS14" s="208"/>
      <c r="AT14" s="208"/>
      <c r="AU14" s="40"/>
      <c r="AV14" s="402" t="s">
        <v>34</v>
      </c>
      <c r="AW14" s="402"/>
      <c r="AX14" s="402"/>
      <c r="AY14" s="402"/>
      <c r="AZ14" s="208"/>
      <c r="BA14" s="208"/>
      <c r="BB14" s="402"/>
      <c r="BC14" s="402" t="s">
        <v>35</v>
      </c>
      <c r="BD14" s="402"/>
      <c r="BE14" s="402"/>
      <c r="BF14" s="402"/>
      <c r="BG14" s="208"/>
      <c r="BH14" s="208"/>
      <c r="BI14" s="40"/>
      <c r="BJ14" s="402" t="s">
        <v>36</v>
      </c>
      <c r="BK14" s="402"/>
      <c r="BL14" s="402"/>
      <c r="BM14" s="40"/>
      <c r="BN14" s="402" t="s">
        <v>37</v>
      </c>
      <c r="BO14" s="402"/>
      <c r="BP14" s="402"/>
      <c r="BQ14" s="40"/>
      <c r="BS14" s="164"/>
      <c r="BT14" s="165"/>
      <c r="BU14" s="53"/>
      <c r="BV14" s="53"/>
      <c r="BW14" s="402" t="s">
        <v>33</v>
      </c>
      <c r="BX14" s="402"/>
      <c r="BY14" s="402"/>
      <c r="BZ14" s="402"/>
      <c r="CA14" s="402"/>
      <c r="CB14" s="402"/>
      <c r="CC14" s="40"/>
      <c r="CD14" s="402" t="s">
        <v>34</v>
      </c>
      <c r="CE14" s="402"/>
      <c r="CF14" s="402"/>
      <c r="CG14" s="402"/>
      <c r="CH14" s="208"/>
      <c r="CI14" s="208"/>
      <c r="CJ14" s="40"/>
      <c r="CK14" s="402" t="s">
        <v>35</v>
      </c>
      <c r="CL14" s="402"/>
      <c r="CM14" s="402"/>
      <c r="CN14" s="402"/>
      <c r="CO14" s="208"/>
      <c r="CP14" s="208"/>
      <c r="CQ14" s="40"/>
      <c r="CR14" s="402" t="s">
        <v>36</v>
      </c>
      <c r="CS14" s="402"/>
      <c r="CT14" s="402"/>
      <c r="CU14" s="40"/>
      <c r="CV14" s="402" t="s">
        <v>37</v>
      </c>
      <c r="CW14" s="402"/>
      <c r="CX14" s="402"/>
      <c r="CY14" s="40"/>
      <c r="DA14" s="158"/>
      <c r="DB14" s="170"/>
      <c r="DC14" s="53"/>
      <c r="DD14" s="53"/>
      <c r="DE14" s="54" t="s">
        <v>33</v>
      </c>
      <c r="DF14" s="54"/>
      <c r="DG14" s="54"/>
      <c r="DH14" s="54"/>
      <c r="DI14" s="54" t="s">
        <v>34</v>
      </c>
      <c r="DJ14" s="54"/>
      <c r="DK14" s="54"/>
      <c r="DL14" s="54" t="s">
        <v>46</v>
      </c>
      <c r="DM14" s="54" t="s">
        <v>35</v>
      </c>
      <c r="DN14" s="54"/>
      <c r="DO14" s="54"/>
      <c r="DP14" s="54"/>
      <c r="DQ14" s="54" t="s">
        <v>36</v>
      </c>
      <c r="DR14" s="54"/>
      <c r="DS14" s="54"/>
      <c r="DT14" s="54"/>
      <c r="DU14" s="54" t="s">
        <v>37</v>
      </c>
      <c r="DV14" s="54"/>
      <c r="DW14" s="54"/>
    </row>
    <row r="15" spans="2:176" ht="12.75" customHeight="1" thickBot="1" x14ac:dyDescent="0.2">
      <c r="B15" s="293" t="s">
        <v>161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405"/>
      <c r="T15" s="406" t="s">
        <v>169</v>
      </c>
      <c r="U15" s="407"/>
      <c r="V15" s="407"/>
      <c r="W15" s="407"/>
      <c r="X15" s="407"/>
      <c r="Y15" s="406" t="s">
        <v>170</v>
      </c>
      <c r="Z15" s="408"/>
      <c r="AA15" s="46"/>
      <c r="AB15" s="46"/>
      <c r="AC15" s="46"/>
      <c r="AD15" s="46"/>
      <c r="AE15" s="46"/>
      <c r="AF15" s="46"/>
      <c r="AG15" s="46"/>
      <c r="AH15" s="46"/>
      <c r="AI15" s="89"/>
      <c r="AJ15" s="89"/>
      <c r="AK15" s="46"/>
      <c r="AL15" s="90"/>
      <c r="AM15" s="53"/>
      <c r="AN15" s="53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  <c r="BE15" s="208"/>
      <c r="BF15" s="208"/>
      <c r="BG15" s="208"/>
      <c r="BH15" s="208"/>
      <c r="BI15" s="208"/>
      <c r="BJ15" s="208"/>
      <c r="BK15" s="208"/>
      <c r="BL15" s="208"/>
      <c r="BM15" s="208"/>
      <c r="BN15" s="208"/>
      <c r="BO15" s="208"/>
      <c r="BP15" s="208"/>
      <c r="BQ15" s="208"/>
      <c r="BS15" s="41"/>
      <c r="BT15" s="43"/>
      <c r="BU15" s="53"/>
      <c r="BV15" s="53"/>
      <c r="BW15" s="208"/>
      <c r="BX15" s="208"/>
      <c r="BY15" s="208"/>
      <c r="BZ15" s="208"/>
      <c r="CA15" s="208"/>
      <c r="CB15" s="208"/>
      <c r="CC15" s="208"/>
      <c r="CD15" s="208"/>
      <c r="CE15" s="208"/>
      <c r="CF15" s="208"/>
      <c r="CG15" s="208"/>
      <c r="CH15" s="208"/>
      <c r="CI15" s="208"/>
      <c r="CJ15" s="208"/>
      <c r="CK15" s="208"/>
      <c r="CL15" s="208"/>
      <c r="CM15" s="208"/>
      <c r="CN15" s="208"/>
      <c r="CO15" s="208"/>
      <c r="CP15" s="208"/>
      <c r="CQ15" s="208"/>
      <c r="CR15" s="208"/>
      <c r="CS15" s="208"/>
      <c r="CT15" s="208"/>
      <c r="CU15" s="208"/>
      <c r="CV15" s="208"/>
      <c r="CW15" s="208"/>
      <c r="CX15" s="208"/>
      <c r="CY15" s="208"/>
      <c r="DA15" s="53"/>
      <c r="DB15" s="83"/>
      <c r="DC15" s="53"/>
      <c r="DD15" s="53"/>
      <c r="DE15" s="208"/>
      <c r="DF15" s="208"/>
      <c r="DG15" s="208"/>
      <c r="DH15" s="208"/>
      <c r="DI15" s="208"/>
      <c r="DJ15" s="208"/>
      <c r="DK15" s="208"/>
      <c r="DL15" s="208"/>
      <c r="DM15" s="208"/>
      <c r="DN15" s="208"/>
      <c r="DO15" s="208"/>
      <c r="DP15" s="208"/>
      <c r="DQ15" s="208"/>
      <c r="DR15" s="208"/>
      <c r="DS15" s="208"/>
      <c r="DT15" s="208"/>
      <c r="DU15" s="208"/>
      <c r="DV15" s="208"/>
      <c r="DW15" s="208"/>
    </row>
    <row r="16" spans="2:176" s="40" customFormat="1" ht="45" customHeight="1" x14ac:dyDescent="0.15">
      <c r="B16" s="230" t="s">
        <v>32</v>
      </c>
      <c r="C16" s="163" t="s">
        <v>0</v>
      </c>
      <c r="D16" s="163" t="s">
        <v>22</v>
      </c>
      <c r="E16" s="163" t="s">
        <v>9</v>
      </c>
      <c r="F16" s="310" t="s">
        <v>1</v>
      </c>
      <c r="G16" s="311"/>
      <c r="H16" s="163" t="str">
        <f>+IF(N13="x","Rice 1, 2, or 3","QC Proctor 1, 2, or 3")</f>
        <v>QC Proctor 1, 2, or 3</v>
      </c>
      <c r="I16" s="163" t="s">
        <v>76</v>
      </c>
      <c r="J16" s="163" t="s">
        <v>77</v>
      </c>
      <c r="K16" s="163" t="s">
        <v>44</v>
      </c>
      <c r="L16" s="163" t="str">
        <f>+IF(N12="x","Probe Depth","Thin Lift Depth")</f>
        <v>Probe Depth</v>
      </c>
      <c r="M16" s="163" t="str">
        <f>+IF(N13="X","Syst 1 Count","Soil Density Count")</f>
        <v>Soil Density Count</v>
      </c>
      <c r="N16" s="163" t="str">
        <f>+IF(N13="X","Syst 2 Count","Soil Moist Den Count")</f>
        <v>Soil Moist Den Count</v>
      </c>
      <c r="O16" s="163" t="str">
        <f>+IF(N13="X","Reported Density lbs/cu.ft.","Wet Density lbs/cu.ft.")</f>
        <v>Wet Density lbs/cu.ft.</v>
      </c>
      <c r="P16" s="163" t="str">
        <f>+IF(N13="x","","Moisture lbs/cu.ft.")</f>
        <v>Moisture lbs/cu.ft.</v>
      </c>
      <c r="Q16" s="163" t="str">
        <f>+IF($N$12="X","Reported            Dry Density lbs/cu. ft.","")</f>
        <v>Reported            Dry Density lbs/cu. ft.</v>
      </c>
      <c r="R16" s="163" t="str">
        <f>+IF(I13="x","","Reported Moisture %")</f>
        <v>Reported Moisture %</v>
      </c>
      <c r="S16" s="277" t="s">
        <v>162</v>
      </c>
      <c r="T16" s="230" t="s">
        <v>147</v>
      </c>
      <c r="U16" s="163" t="s">
        <v>159</v>
      </c>
      <c r="V16" s="163" t="str">
        <f>+IF($N$12="X","In Place             Dry Density lbs/cu. ft.","")</f>
        <v>In Place             Dry Density lbs/cu. ft.</v>
      </c>
      <c r="W16" s="163" t="str">
        <f>+IF(N13="x","","Moisture %")</f>
        <v>Moisture %</v>
      </c>
      <c r="X16" s="277" t="s">
        <v>3</v>
      </c>
      <c r="Y16" s="230" t="s">
        <v>167</v>
      </c>
      <c r="Z16" s="228" t="s">
        <v>168</v>
      </c>
      <c r="AA16" s="91"/>
      <c r="AB16" s="91"/>
      <c r="AC16" s="91"/>
      <c r="AD16" s="91"/>
      <c r="AE16" s="91"/>
      <c r="AF16" s="56">
        <v>1</v>
      </c>
      <c r="AG16" s="56">
        <v>2</v>
      </c>
      <c r="AH16" s="57">
        <v>3</v>
      </c>
      <c r="AI16" s="58"/>
      <c r="AJ16" s="167"/>
      <c r="AK16" s="172"/>
      <c r="AL16" s="194" t="s">
        <v>23</v>
      </c>
      <c r="AM16" s="173"/>
      <c r="AN16" s="173" t="s">
        <v>45</v>
      </c>
      <c r="AO16" s="173" t="s">
        <v>20</v>
      </c>
      <c r="AP16" s="215" t="s">
        <v>157</v>
      </c>
      <c r="AQ16" s="215" t="s">
        <v>156</v>
      </c>
      <c r="AR16" s="173" t="s">
        <v>21</v>
      </c>
      <c r="AS16" s="218" t="s">
        <v>158</v>
      </c>
      <c r="AT16" s="218" t="s">
        <v>159</v>
      </c>
      <c r="AU16" s="173" t="s">
        <v>45</v>
      </c>
      <c r="AV16" s="173" t="s">
        <v>20</v>
      </c>
      <c r="AW16" s="195" t="str">
        <f>+AP16</f>
        <v>Density Count Ratio</v>
      </c>
      <c r="AX16" s="215" t="s">
        <v>156</v>
      </c>
      <c r="AY16" s="173" t="s">
        <v>21</v>
      </c>
      <c r="AZ16" s="218" t="s">
        <v>158</v>
      </c>
      <c r="BA16" s="218" t="s">
        <v>159</v>
      </c>
      <c r="BB16" s="173" t="s">
        <v>45</v>
      </c>
      <c r="BC16" s="173" t="s">
        <v>20</v>
      </c>
      <c r="BD16" s="215" t="str">
        <f>+AW16</f>
        <v>Density Count Ratio</v>
      </c>
      <c r="BE16" s="215" t="s">
        <v>156</v>
      </c>
      <c r="BF16" s="173" t="s">
        <v>21</v>
      </c>
      <c r="BG16" s="218" t="s">
        <v>158</v>
      </c>
      <c r="BH16" s="218" t="s">
        <v>159</v>
      </c>
      <c r="BI16" s="173" t="s">
        <v>45</v>
      </c>
      <c r="BJ16" s="173" t="s">
        <v>20</v>
      </c>
      <c r="BK16" s="195" t="str">
        <f>+BD16</f>
        <v>Density Count Ratio</v>
      </c>
      <c r="BL16" s="173" t="s">
        <v>21</v>
      </c>
      <c r="BM16" s="173" t="s">
        <v>45</v>
      </c>
      <c r="BN16" s="173" t="s">
        <v>20</v>
      </c>
      <c r="BO16" s="195" t="str">
        <f>+BK16</f>
        <v>Density Count Ratio</v>
      </c>
      <c r="BP16" s="173" t="s">
        <v>21</v>
      </c>
      <c r="BQ16" s="173"/>
      <c r="BR16" s="173"/>
      <c r="BS16" s="196"/>
      <c r="BT16" s="197"/>
      <c r="BU16" s="173"/>
      <c r="BV16" s="173" t="s">
        <v>45</v>
      </c>
      <c r="BW16" s="173" t="s">
        <v>20</v>
      </c>
      <c r="BX16" s="195" t="str">
        <f>+AP50</f>
        <v>count ratio</v>
      </c>
      <c r="BY16" s="215" t="s">
        <v>156</v>
      </c>
      <c r="BZ16" s="218" t="s">
        <v>158</v>
      </c>
      <c r="CA16" s="218" t="s">
        <v>159</v>
      </c>
      <c r="CB16" s="173" t="s">
        <v>21</v>
      </c>
      <c r="CC16" s="173" t="s">
        <v>45</v>
      </c>
      <c r="CD16" s="173" t="s">
        <v>20</v>
      </c>
      <c r="CE16" s="195" t="str">
        <f>+BX16</f>
        <v>count ratio</v>
      </c>
      <c r="CF16" s="215" t="s">
        <v>156</v>
      </c>
      <c r="CG16" s="173" t="s">
        <v>21</v>
      </c>
      <c r="CH16" s="218" t="s">
        <v>158</v>
      </c>
      <c r="CI16" s="218" t="s">
        <v>159</v>
      </c>
      <c r="CJ16" s="173" t="s">
        <v>45</v>
      </c>
      <c r="CK16" s="173" t="s">
        <v>20</v>
      </c>
      <c r="CL16" s="195" t="str">
        <f>+CE16</f>
        <v>count ratio</v>
      </c>
      <c r="CM16" s="215" t="s">
        <v>156</v>
      </c>
      <c r="CN16" s="173" t="s">
        <v>21</v>
      </c>
      <c r="CO16" s="218" t="s">
        <v>158</v>
      </c>
      <c r="CP16" s="218" t="s">
        <v>159</v>
      </c>
      <c r="CQ16" s="173" t="s">
        <v>45</v>
      </c>
      <c r="CR16" s="173" t="s">
        <v>20</v>
      </c>
      <c r="CS16" s="195" t="str">
        <f>+CL16</f>
        <v>count ratio</v>
      </c>
      <c r="CT16" s="173" t="s">
        <v>21</v>
      </c>
      <c r="CU16" s="173" t="s">
        <v>45</v>
      </c>
      <c r="CV16" s="173" t="s">
        <v>20</v>
      </c>
      <c r="CW16" s="195" t="str">
        <f>+CS16</f>
        <v>count ratio</v>
      </c>
      <c r="CX16" s="173" t="s">
        <v>21</v>
      </c>
      <c r="CY16" s="173"/>
      <c r="CZ16" s="173"/>
      <c r="DA16" s="173"/>
      <c r="DB16" s="198"/>
      <c r="DC16" s="173"/>
      <c r="DD16" s="173" t="s">
        <v>45</v>
      </c>
      <c r="DE16" s="173" t="s">
        <v>20</v>
      </c>
      <c r="DF16" s="195">
        <f>+BX50</f>
        <v>0</v>
      </c>
      <c r="DG16" s="173" t="s">
        <v>21</v>
      </c>
      <c r="DH16" s="173" t="s">
        <v>45</v>
      </c>
      <c r="DI16" s="173" t="s">
        <v>20</v>
      </c>
      <c r="DJ16" s="195">
        <f>+DF16</f>
        <v>0</v>
      </c>
      <c r="DK16" s="173" t="s">
        <v>21</v>
      </c>
      <c r="DL16" s="173" t="s">
        <v>45</v>
      </c>
      <c r="DM16" s="173" t="s">
        <v>20</v>
      </c>
      <c r="DN16" s="195">
        <f>+DJ16</f>
        <v>0</v>
      </c>
      <c r="DO16" s="173" t="s">
        <v>21</v>
      </c>
      <c r="DP16" s="173" t="s">
        <v>45</v>
      </c>
      <c r="DQ16" s="173" t="s">
        <v>20</v>
      </c>
      <c r="DR16" s="195">
        <f>+DN16</f>
        <v>0</v>
      </c>
      <c r="DS16" s="173" t="s">
        <v>21</v>
      </c>
      <c r="DT16" s="173" t="s">
        <v>45</v>
      </c>
      <c r="DU16" s="173" t="s">
        <v>20</v>
      </c>
      <c r="DV16" s="195">
        <f>+DR16</f>
        <v>0</v>
      </c>
      <c r="DW16" s="173" t="s">
        <v>21</v>
      </c>
      <c r="DX16" s="81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</row>
    <row r="17" spans="1:176" ht="12.75" customHeight="1" x14ac:dyDescent="0.15">
      <c r="B17" s="229">
        <v>1</v>
      </c>
      <c r="C17" s="59"/>
      <c r="D17" s="60"/>
      <c r="E17" s="61"/>
      <c r="F17" s="312"/>
      <c r="G17" s="313"/>
      <c r="H17" s="62"/>
      <c r="I17" s="62"/>
      <c r="J17" s="62"/>
      <c r="K17" s="62"/>
      <c r="L17" s="271"/>
      <c r="M17" s="93"/>
      <c r="N17" s="94"/>
      <c r="O17" s="93"/>
      <c r="P17" s="95"/>
      <c r="Q17" s="233"/>
      <c r="R17" s="233"/>
      <c r="S17" s="280" t="str">
        <f>IF(C17="","",P17/Q17)</f>
        <v/>
      </c>
      <c r="T17" s="278" t="str">
        <f>IF(C17="","",IF(AND($H17=1,$L17=4),AS17,IF(AND($H17=1,$L17=6),AZ17,IF(AND($H17=1,$L17=8),BG17,IF(AND($H17=2,$L17=4),BZ17,IF(AND($H17=2,$L17=6),CH17,IF(AND($H17=2,$L17=8),CO17,"")))))))</f>
        <v/>
      </c>
      <c r="U17" s="235" t="str">
        <f>IF(D17="","",IF(AND($H17=1,$L17=4),AT17,IF(AND($H17=1,$L17=6),BA17,IF(AND($H17=1,$L17=8),BH17,IF(AND($H17=2,$L17=4),CA17,IF(AND($H17=2,$L17=6),CI17,IF(AND($H17=2,$L17=8),CP17,"")))))))</f>
        <v/>
      </c>
      <c r="V17" s="63" t="str">
        <f>+IF(C17="","",IF(T17=0,"",T17-U17))</f>
        <v/>
      </c>
      <c r="W17" s="64" t="str">
        <f t="shared" ref="W17:W46" si="0">+IF(V17="","",P17/V17)</f>
        <v/>
      </c>
      <c r="X17" s="65" t="str">
        <f t="shared" ref="X17:X46" si="1">IF(OR(H17="",N17="",M17=""),"",ROUNDUP(IF(H17="","",IF($N$12="x",(IF(H17=1,V17/$D$13*100,IF(H17=2,V17/$G$13*100,IF(H17=3,V17/$J$13*100)))),IF($N$13="x",(IF(H17=1,O17/$D$12*100,IF(H17=2,O17/$G$12*100,IF(H17=3,O17/$J$12*100,""))))))),0))</f>
        <v/>
      </c>
      <c r="Y17" s="284"/>
      <c r="Z17" s="285" t="e">
        <f>Q17-V17</f>
        <v>#VALUE!</v>
      </c>
      <c r="AA17" s="82"/>
      <c r="AB17" s="82"/>
      <c r="AC17" s="82"/>
      <c r="AD17" s="82"/>
      <c r="AE17" s="82"/>
      <c r="AF17" s="96" t="str">
        <f t="shared" ref="AF17:AF46" si="2">+IF(H17=1,O17,"")</f>
        <v/>
      </c>
      <c r="AG17" s="96" t="str">
        <f t="shared" ref="AG17:AG46" si="3">+IF(H17=2,O17,"")</f>
        <v/>
      </c>
      <c r="AH17" s="96" t="str">
        <f t="shared" ref="AH17:AH46" si="4">+IF(H17=3,O17,"")</f>
        <v/>
      </c>
      <c r="AI17" s="96"/>
      <c r="AJ17" s="168"/>
      <c r="AK17" s="192">
        <v>1</v>
      </c>
      <c r="AL17" s="174" t="str">
        <f t="shared" ref="AL17:AL46" si="5">+IF(D17="","",D17)</f>
        <v/>
      </c>
      <c r="AM17" s="155">
        <f t="shared" ref="AM17:AM47" si="6">+B17</f>
        <v>1</v>
      </c>
      <c r="AN17" s="175" t="str">
        <f t="shared" ref="AN17:AN46" si="7">+IF($H17="","",IF($H17=1,1,""))</f>
        <v/>
      </c>
      <c r="AO17" s="156" t="str">
        <f t="shared" ref="AO17:AO46" si="8">+IF(AND(AN17=1,L17=4),4,"")</f>
        <v/>
      </c>
      <c r="AP17" s="176" t="str">
        <f>+IF($AL17="","",IF(AND(AN17=1,AO17=4),+($M17/VLOOKUP($AL17,$D$66:$D$68,1)),""))</f>
        <v/>
      </c>
      <c r="AQ17" s="216" t="str">
        <f>+IF($AL17="","",IF(AND(AN17=1,AO17=4),+(($N17/VLOOKUP($AL17,$E$66:$E$68,1))),""))</f>
        <v/>
      </c>
      <c r="AR17" s="178" t="str">
        <f t="shared" ref="AR17:AR46" si="9">+IF(AND(AN17=1,L17=4),+O17,"")</f>
        <v/>
      </c>
      <c r="AS17" s="156" t="str">
        <f t="shared" ref="AS17:AS46" si="10">IF(AO17="","",(((1/$H$67)*(LN(($H$66/(AP17+$H$68)))))*62.4)-(AT17/20))</f>
        <v/>
      </c>
      <c r="AT17" s="156" t="str">
        <f>IF(AO17="","",((AQ17-$M$66)/$M$68)*62.4)</f>
        <v/>
      </c>
      <c r="AU17" s="175" t="str">
        <f t="shared" ref="AU17:AU46" si="11">+IF($H17="","",IF($H17=1,1,""))</f>
        <v/>
      </c>
      <c r="AV17" s="156" t="str">
        <f t="shared" ref="AV17:AV46" si="12">+IF(AND(AU17=1,L17=6),6,"")</f>
        <v/>
      </c>
      <c r="AW17" s="176" t="str">
        <f>+IF($AL17="","",IF(AND(AU17=1,AV17=6),+($M17/VLOOKUP($AL17,$D$66:$D$68,1)),""))</f>
        <v/>
      </c>
      <c r="AX17" s="216" t="str">
        <f>+IF($AL17="","",IF(AND(AU17=1,AV17=6),+(($N17/VLOOKUP($AL17,$E$66:$E$68,1))),""))</f>
        <v/>
      </c>
      <c r="AY17" s="156" t="str">
        <f t="shared" ref="AY17:AY46" si="13">+IF(AND(AU17=1,L17=6),+O17,"")</f>
        <v/>
      </c>
      <c r="AZ17" s="156" t="str">
        <f>IF(AV17="","",(((1/$I$67)*(LN(($I$66/(AW17+$I$68)))))*62.4)-(BA17/20))</f>
        <v/>
      </c>
      <c r="BA17" s="156" t="str">
        <f>IF(AV17="","",((AX17-$M$66)/$M$68)*62.4)</f>
        <v/>
      </c>
      <c r="BB17" s="175" t="str">
        <f t="shared" ref="BB17:BB46" si="14">+IF($H17="","",IF($H17=1,1,""))</f>
        <v/>
      </c>
      <c r="BC17" s="156" t="str">
        <f t="shared" ref="BC17:BC46" si="15">+IF(AND(BB17=1,L17=8),8,"")</f>
        <v/>
      </c>
      <c r="BD17" s="216" t="str">
        <f t="shared" ref="BD17:BD46" si="16">+IF(AL17="","",IF(AND(BB17=1,BC17=8),+((M17/VLOOKUP($AL17,$D$66:$D$68,1))),""))</f>
        <v/>
      </c>
      <c r="BE17" s="216" t="str">
        <f t="shared" ref="BE17:BE46" si="17">+IF(AL17="","",IF(AND(BB17=1,BC17=8),+((N17/VLOOKUP($AL17,$E$66:$E$68,1))),""))</f>
        <v/>
      </c>
      <c r="BF17" s="156" t="str">
        <f t="shared" ref="BF17:BF46" si="18">+IF(AND(BB17=1,L17=8),+O17,"")</f>
        <v/>
      </c>
      <c r="BG17" s="156" t="e">
        <f>(((1/$J$67)*(LN(($J$66/(BD17+$J$68)))))*62.4)-(BH17/20)</f>
        <v>#DIV/0!</v>
      </c>
      <c r="BH17" s="156" t="e">
        <f>((BE17-$M$66)/$M$68)*62.4</f>
        <v>#VALUE!</v>
      </c>
      <c r="BI17" s="175" t="str">
        <f t="shared" ref="BI17:BI46" si="19">+IF($H17="","",IF($H17=1,1,""))</f>
        <v/>
      </c>
      <c r="BJ17" s="156" t="str">
        <f t="shared" ref="BJ17:BJ46" si="20">+IF(AND(BI17=1,L17=10),10,"")</f>
        <v/>
      </c>
      <c r="BK17" s="176" t="str">
        <f t="shared" ref="BK17:BK46" si="21">+IF(AL17="","",IF(AND(BI17=1,BJ17=10),+(M17/VLOOKUP($AL17,$D$66:$E$68,2)),""))</f>
        <v/>
      </c>
      <c r="BL17" s="156" t="str">
        <f t="shared" ref="BL17:BL46" si="22">+IF(AND(BI17=1,L17=10),+O17,"")</f>
        <v/>
      </c>
      <c r="BM17" s="175" t="str">
        <f t="shared" ref="BM17:BM46" si="23">+IF($H17="","",IF($H17=1,1,""))</f>
        <v/>
      </c>
      <c r="BN17" s="156" t="str">
        <f t="shared" ref="BN17:BN46" si="24">+IF(AND(BM17=1,L17=12),12,"")</f>
        <v/>
      </c>
      <c r="BO17" s="176" t="str">
        <f t="shared" ref="BO17:BO46" si="25">+IF(AL17="","",IF(AND(BM17=1,BN17=12),+(M17/VLOOKUP($AL17,$D$66:$E$68,2)),""))</f>
        <v/>
      </c>
      <c r="BP17" s="156" t="str">
        <f t="shared" ref="BP17:BP46" si="26">+IF(AND(BM17=1,L17=12),+O17,"")</f>
        <v/>
      </c>
      <c r="BQ17" s="156"/>
      <c r="BR17" s="179"/>
      <c r="BS17" s="180"/>
      <c r="BT17" s="174" t="str">
        <f t="shared" ref="BT17:BT46" si="27">+IF(D17="","",D17)</f>
        <v/>
      </c>
      <c r="BU17" s="155">
        <f t="shared" ref="BU17:BU46" si="28">+AM17</f>
        <v>1</v>
      </c>
      <c r="BV17" s="175" t="str">
        <f t="shared" ref="BV17:BV46" si="29">+IF($H17="","",IF($H17=2,2,""))</f>
        <v/>
      </c>
      <c r="BW17" s="156" t="str">
        <f t="shared" ref="BW17:BW46" si="30">+IF(AND(BV17=2,L17=4),4,"")</f>
        <v/>
      </c>
      <c r="BX17" s="176" t="str">
        <f>+IF($AL17="","",IF(AND(BV17=2,BW17=4),+($M17/VLOOKUP($AL17,$D$66:$D$68,1)),""))</f>
        <v/>
      </c>
      <c r="BY17" s="216" t="str">
        <f>+IF($AL17="","",IF(AND(BV17=2,BW17=4),+(($N17/VLOOKUP($AL17,$E$66:$E$68,1))),""))</f>
        <v/>
      </c>
      <c r="BZ17" s="156" t="str">
        <f t="shared" ref="BZ17:BZ46" si="31">IF(BW17="","",(((1/$H$67)*(LN(($H$66/(BW17+$H$68)))))*62.4)-(CA17/20))</f>
        <v/>
      </c>
      <c r="CA17" s="156" t="str">
        <f>IF(BW17="","",((BY17-$M$66)/$M$68)*62.4)</f>
        <v/>
      </c>
      <c r="CB17" s="177" t="str">
        <f t="shared" ref="CB17:CB46" si="32">+IF(AND(BV17=2,L17=4),+O17,"")</f>
        <v/>
      </c>
      <c r="CC17" s="175" t="str">
        <f t="shared" ref="CC17:CC46" si="33">+IF($H17="","",IF($H17=2,2,""))</f>
        <v/>
      </c>
      <c r="CD17" s="156" t="str">
        <f t="shared" ref="CD17:CD46" si="34">+IF(AND(CC17=2,L17=6),6,"")</f>
        <v/>
      </c>
      <c r="CE17" s="176" t="str">
        <f>+IF($AL17="","",IF(AND(CC17=2,CD17=6),+($M17/VLOOKUP($AL17,$D$66:$D$68,1)),""))</f>
        <v/>
      </c>
      <c r="CF17" s="216" t="str">
        <f>+IF($AL17="","",IF(AND(CC17=2,CD17=6),+(($N17/VLOOKUP($AL17,$E$66:$E$68,1))),""))</f>
        <v/>
      </c>
      <c r="CG17" s="156" t="str">
        <f t="shared" ref="CG17:CG46" si="35">+IF(AND(CC17=2,L17=6),+O17,"")</f>
        <v/>
      </c>
      <c r="CH17" s="156" t="str">
        <f>IF(CE17="","",(((1/$H$67)*(LN(($H$66/(CE17+$H$68)))))*62.4)-(CI17/20))</f>
        <v/>
      </c>
      <c r="CI17" s="156" t="str">
        <f>IF(CD17="","",((CF17-$M$66)/$M$68)*62.4)</f>
        <v/>
      </c>
      <c r="CJ17" s="175" t="str">
        <f t="shared" ref="CJ17:CJ46" si="36">+IF($H17="","",IF($H17=2,2,""))</f>
        <v/>
      </c>
      <c r="CK17" s="156" t="str">
        <f t="shared" ref="CK17:CK46" si="37">+IF(AND(CJ17=2,L17=8),8,"")</f>
        <v/>
      </c>
      <c r="CL17" s="176" t="str">
        <f t="shared" ref="CL17:CL46" si="38">+IF(BT17="","",IF(AND(CJ17=2,L17=8),+M17/VLOOKUP($BT17,$D$66:$E$68,2),""))</f>
        <v/>
      </c>
      <c r="CM17" s="216" t="str">
        <f>+IF($AL17="","",IF(AND(CJ17=2,CK17=8),+(($N17/VLOOKUP($AL17,$E$66:$E$68,1))),""))</f>
        <v/>
      </c>
      <c r="CN17" s="156" t="str">
        <f t="shared" ref="CN17:CN46" si="39">+IF(AND(CJ17=2,L17=8),+O17,"")</f>
        <v/>
      </c>
      <c r="CO17" s="156" t="str">
        <f t="shared" ref="CO17:CO46" si="40">IF(CL17="","",(((1/$H$67)*(LN(($H$66/(CL17+$H$68)))))*62.4)-(CP17/20))</f>
        <v/>
      </c>
      <c r="CP17" s="156" t="str">
        <f>IF(CK17="","",((CM17-$M$66)/$M$68)*62.4)</f>
        <v/>
      </c>
      <c r="CQ17" s="175" t="str">
        <f t="shared" ref="CQ17:CQ46" si="41">+IF($H17="","",IF($H17=2,2,""))</f>
        <v/>
      </c>
      <c r="CR17" s="156" t="str">
        <f t="shared" ref="CR17:CR46" si="42">+IF(AND(CQ17=2,L17=10),10,"")</f>
        <v/>
      </c>
      <c r="CS17" s="156" t="str">
        <f t="shared" ref="CS17:CS46" si="43">+IF(BT17="","",IF(AND(CQ17=2,L17=10),+M17/VLOOKUP($BT17,$D$66:$E$68,2),""))</f>
        <v/>
      </c>
      <c r="CT17" s="156" t="str">
        <f t="shared" ref="CT17:CT46" si="44">+IF(AND(CQ17=2,L17=10),+O17,"")</f>
        <v/>
      </c>
      <c r="CU17" s="175" t="str">
        <f t="shared" ref="CU17:CU46" si="45">+IF($H17="","",IF($H17=2,2,""))</f>
        <v/>
      </c>
      <c r="CV17" s="156" t="str">
        <f t="shared" ref="CV17:CV46" si="46">+IF(AND(CU17=2,L17=12),12,"")</f>
        <v/>
      </c>
      <c r="CW17" s="156" t="str">
        <f t="shared" ref="CW17:CW46" si="47">+IF(BT17="","",IF(AND(CU17=2,L17=12),+M17/VLOOKUP($BT17,$D$66:$E$68,2),""))</f>
        <v/>
      </c>
      <c r="CX17" s="156" t="str">
        <f t="shared" ref="CX17:CX46" si="48">+IF(AND(CU17=2,L17=12),+O17,"")</f>
        <v/>
      </c>
      <c r="CY17" s="156"/>
      <c r="CZ17" s="179"/>
      <c r="DA17" s="155"/>
      <c r="DB17" s="174" t="str">
        <f t="shared" ref="DB17:DB46" si="49">+IF(D17="","",D17)</f>
        <v/>
      </c>
      <c r="DC17" s="155">
        <v>1</v>
      </c>
      <c r="DD17" s="175" t="str">
        <f t="shared" ref="DD17:DD46" si="50">+IF($H17="","",IF($H17=3,3,""))</f>
        <v/>
      </c>
      <c r="DE17" s="156" t="str">
        <f t="shared" ref="DE17:DE46" si="51">+IF(AND(DD17=3,L17=4),4,"")</f>
        <v/>
      </c>
      <c r="DF17" s="178" t="str">
        <f t="shared" ref="DF17:DF46" si="52">+IF(DB17="","",IF(AND(DD17=3,DE17=4),+((M17+VLOOKUP($DB17,$D$66:$E$68,2))/2),""))</f>
        <v/>
      </c>
      <c r="DG17" s="177" t="str">
        <f t="shared" ref="DG17:DG46" si="53">+IF(AND(DD17=3,L17=4),+O17,"")</f>
        <v/>
      </c>
      <c r="DH17" s="175" t="str">
        <f t="shared" ref="DH17:DH46" si="54">+IF($H17="","",IF($H17=3,3,""))</f>
        <v/>
      </c>
      <c r="DI17" s="156" t="str">
        <f t="shared" ref="DI17:DI46" si="55">+IF(AND(DH17=3,L17=6),6,"")</f>
        <v/>
      </c>
      <c r="DJ17" s="176" t="str">
        <f t="shared" ref="DJ17:DJ46" si="56">+IF(DB17="","",IF(AND(DH17=3,L17=6),+M17/VLOOKUP($DB17,$D$66:$E$68,2),""))</f>
        <v/>
      </c>
      <c r="DK17" s="156" t="str">
        <f t="shared" ref="DK17:DK46" si="57">+IF(AND(DH17=3,L17=6),+O17,"")</f>
        <v/>
      </c>
      <c r="DL17" s="175" t="str">
        <f t="shared" ref="DL17:DL46" si="58">+IF($H17="","",IF($H17=3,3,""))</f>
        <v/>
      </c>
      <c r="DM17" s="156" t="str">
        <f t="shared" ref="DM17:DM46" si="59">+IF(AND(DL17=3,L17=8),8,"")</f>
        <v/>
      </c>
      <c r="DN17" s="176" t="str">
        <f t="shared" ref="DN17:DN46" si="60">+IF(DB17="","",IF(AND(DL17=3,L17=8),+M17/VLOOKUP($DB17,$D$66:$E$68,2),""))</f>
        <v/>
      </c>
      <c r="DO17" s="156" t="str">
        <f t="shared" ref="DO17:DO46" si="61">+IF(AND(DL17=3,L17=8),+O17,"")</f>
        <v/>
      </c>
      <c r="DP17" s="175" t="str">
        <f t="shared" ref="DP17:DP46" si="62">+IF($H17="","",IF($H17=3,3,""))</f>
        <v/>
      </c>
      <c r="DQ17" s="156" t="str">
        <f t="shared" ref="DQ17:DQ46" si="63">+IF(AND(DP17=3,L17=10),10,"")</f>
        <v/>
      </c>
      <c r="DR17" s="156" t="str">
        <f t="shared" ref="DR17:DR46" si="64">+IF(DB17="","",IF(AND(DP17=3,L17=10),+M17/VLOOKUP($DB17,$D$66:$E$68,2),""))</f>
        <v/>
      </c>
      <c r="DS17" s="156" t="str">
        <f t="shared" ref="DS17:DS46" si="65">+IF(AND(DP17=3,L17=10),+O17,"")</f>
        <v/>
      </c>
      <c r="DT17" s="175" t="str">
        <f t="shared" ref="DT17:DT46" si="66">+IF($H17="","",IF($H17=3,3,""))</f>
        <v/>
      </c>
      <c r="DU17" s="156" t="str">
        <f t="shared" ref="DU17:DU46" si="67">+IF(AND(DT17=3,L17=12),12,"")</f>
        <v/>
      </c>
      <c r="DV17" s="156" t="str">
        <f t="shared" ref="DV17:DV46" si="68">+IF(DB17="","",IF(AND(DT17=3,L17=12),+M17/VLOOKUP($DB17,$D$66:$E$68,2),""))</f>
        <v/>
      </c>
      <c r="DW17" s="156" t="str">
        <f t="shared" ref="DW17:DW46" si="69">+IF(AND(DT17=3,L17=12),+O17,"")</f>
        <v/>
      </c>
      <c r="DX17" s="97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</row>
    <row r="18" spans="1:176" ht="12.75" customHeight="1" x14ac:dyDescent="0.15">
      <c r="B18" s="229">
        <f>+B17+1</f>
        <v>2</v>
      </c>
      <c r="C18" s="59"/>
      <c r="D18" s="60"/>
      <c r="E18" s="61"/>
      <c r="F18" s="312"/>
      <c r="G18" s="313"/>
      <c r="H18" s="62"/>
      <c r="I18" s="62"/>
      <c r="J18" s="62"/>
      <c r="K18" s="62"/>
      <c r="L18" s="271"/>
      <c r="M18" s="93"/>
      <c r="N18" s="94"/>
      <c r="O18" s="93"/>
      <c r="P18" s="95"/>
      <c r="Q18" s="233"/>
      <c r="R18" s="233"/>
      <c r="S18" s="280" t="str">
        <f t="shared" ref="S18:S46" si="70">IF(C18="","",P18/Q18)</f>
        <v/>
      </c>
      <c r="T18" s="278" t="str">
        <f t="shared" ref="T18:T46" si="71">IF(C18="","",IF(AND(H18=1,L18=4),AS18,IF(AND(H18=1,L18=6),AZ18,IF(AND(H18=1,L18=8),BG18,IF(AND(H18=2,L18=4),BZ18,IF(AND(H18=2,L18=6),CH18,IF(AND(H18=2,L18=8),CO18,"")))))))</f>
        <v/>
      </c>
      <c r="U18" s="235" t="str">
        <f t="shared" ref="U18:U46" si="72">IF(D18="","",IF(AND($H18=1,$L18=4),AT18,IF(AND($H18=1,$L18=6),BA18,IF(AND($H18=1,$L18=8),BH18,IF(AND($H18=2,$L18=4),CA18,IF(AND($H18=2,$L18=6),CI18,IF(AND($H18=2,$L18=8),CP18,"")))))))</f>
        <v/>
      </c>
      <c r="V18" s="63" t="str">
        <f t="shared" ref="V18:V46" si="73">+IF(C18="","",IF(T18=0,"",T18-U18))</f>
        <v/>
      </c>
      <c r="W18" s="64" t="str">
        <f t="shared" si="0"/>
        <v/>
      </c>
      <c r="X18" s="65" t="str">
        <f t="shared" si="1"/>
        <v/>
      </c>
      <c r="Y18" s="284"/>
      <c r="Z18" s="285" t="e">
        <f t="shared" ref="Z18:Z46" si="74">Q18-V18</f>
        <v>#VALUE!</v>
      </c>
      <c r="AA18" s="53"/>
      <c r="AB18" s="82"/>
      <c r="AC18" s="82"/>
      <c r="AD18" s="82"/>
      <c r="AE18" s="41"/>
      <c r="AF18" s="96" t="str">
        <f t="shared" si="2"/>
        <v/>
      </c>
      <c r="AG18" s="96" t="str">
        <f t="shared" si="3"/>
        <v/>
      </c>
      <c r="AH18" s="96" t="str">
        <f t="shared" si="4"/>
        <v/>
      </c>
      <c r="AI18" s="96"/>
      <c r="AJ18" s="168"/>
      <c r="AK18" s="192">
        <f>+AK17+1</f>
        <v>2</v>
      </c>
      <c r="AL18" s="174" t="str">
        <f t="shared" si="5"/>
        <v/>
      </c>
      <c r="AM18" s="155">
        <f t="shared" si="6"/>
        <v>2</v>
      </c>
      <c r="AN18" s="175" t="str">
        <f t="shared" si="7"/>
        <v/>
      </c>
      <c r="AO18" s="156" t="str">
        <f t="shared" si="8"/>
        <v/>
      </c>
      <c r="AP18" s="176" t="str">
        <f t="shared" ref="AP18:AP46" si="75">+IF($AL18="","",IF(AND(AN18=1,AO18=4),+($M18/VLOOKUP($AL18,$D$66:$D$68,1)),""))</f>
        <v/>
      </c>
      <c r="AQ18" s="216" t="str">
        <f t="shared" ref="AQ18:AQ46" si="76">+IF($AL18="","",IF(AND(AN18=1,AO18=4),+(($N18/VLOOKUP($AL18,$E$66:$E$68,1))),""))</f>
        <v/>
      </c>
      <c r="AR18" s="178" t="str">
        <f t="shared" si="9"/>
        <v/>
      </c>
      <c r="AS18" s="156" t="str">
        <f t="shared" si="10"/>
        <v/>
      </c>
      <c r="AT18" s="156" t="str">
        <f t="shared" ref="AT18:AT46" si="77">IF(AO18="","",((AQ18-$M$66)/$M$68)*62.4)</f>
        <v/>
      </c>
      <c r="AU18" s="175" t="str">
        <f t="shared" si="11"/>
        <v/>
      </c>
      <c r="AV18" s="156" t="str">
        <f t="shared" si="12"/>
        <v/>
      </c>
      <c r="AW18" s="176" t="str">
        <f t="shared" ref="AW18:AW46" si="78">+IF($AL18="","",IF(AND(AU18=1,AV18=6),+($M18/VLOOKUP($AL18,$D$66:$D$68,1)),""))</f>
        <v/>
      </c>
      <c r="AX18" s="216" t="str">
        <f t="shared" ref="AX18:AX46" si="79">+IF($AL18="","",IF(AND(AU18=1,AV18=6),+((N18/VLOOKUP($AL18,$E$66:$E$68,1))),""))</f>
        <v/>
      </c>
      <c r="AY18" s="156" t="str">
        <f t="shared" si="13"/>
        <v/>
      </c>
      <c r="AZ18" s="156" t="str">
        <f t="shared" ref="AZ18:AZ46" si="80">IF(AV18="","",(((1/$I$67)*(LN(($I$66/(AW18+$I$68)))))*62.4)-(BA18/20))</f>
        <v/>
      </c>
      <c r="BA18" s="156" t="str">
        <f t="shared" ref="BA18:BA46" si="81">IF(AV18="","",((AX18-$M$66)/$M$68)*62.4)</f>
        <v/>
      </c>
      <c r="BB18" s="175" t="str">
        <f t="shared" si="14"/>
        <v/>
      </c>
      <c r="BC18" s="156" t="str">
        <f t="shared" si="15"/>
        <v/>
      </c>
      <c r="BD18" s="216" t="str">
        <f t="shared" si="16"/>
        <v/>
      </c>
      <c r="BE18" s="216" t="str">
        <f t="shared" si="17"/>
        <v/>
      </c>
      <c r="BF18" s="156" t="str">
        <f t="shared" si="18"/>
        <v/>
      </c>
      <c r="BG18" s="156" t="e">
        <f t="shared" ref="BG18:BG29" si="82">(((1/$J$67)*(LN(($J$66/(BD18+$J$68)))))*62.4)-(BH18/20)</f>
        <v>#DIV/0!</v>
      </c>
      <c r="BH18" s="156" t="e">
        <f t="shared" ref="BH18:BH44" si="83">((BE18-$M$66)/$M$68)*62.4</f>
        <v>#VALUE!</v>
      </c>
      <c r="BI18" s="175" t="str">
        <f t="shared" si="19"/>
        <v/>
      </c>
      <c r="BJ18" s="156" t="str">
        <f t="shared" si="20"/>
        <v/>
      </c>
      <c r="BK18" s="176" t="str">
        <f t="shared" si="21"/>
        <v/>
      </c>
      <c r="BL18" s="156" t="str">
        <f t="shared" si="22"/>
        <v/>
      </c>
      <c r="BM18" s="175" t="str">
        <f t="shared" si="23"/>
        <v/>
      </c>
      <c r="BN18" s="156" t="str">
        <f t="shared" si="24"/>
        <v/>
      </c>
      <c r="BO18" s="176" t="str">
        <f t="shared" si="25"/>
        <v/>
      </c>
      <c r="BP18" s="156" t="str">
        <f t="shared" si="26"/>
        <v/>
      </c>
      <c r="BQ18" s="156"/>
      <c r="BR18" s="179"/>
      <c r="BS18" s="180"/>
      <c r="BT18" s="174" t="str">
        <f t="shared" si="27"/>
        <v/>
      </c>
      <c r="BU18" s="155">
        <f t="shared" si="28"/>
        <v>2</v>
      </c>
      <c r="BV18" s="175" t="str">
        <f t="shared" si="29"/>
        <v/>
      </c>
      <c r="BW18" s="156" t="str">
        <f t="shared" si="30"/>
        <v/>
      </c>
      <c r="BX18" s="176" t="str">
        <f t="shared" ref="BX18:BX46" si="84">+IF($AL18="","",IF(AND(BV18=2,BW18=4),+($M18/VLOOKUP($AL18,$D$66:$D$68,1)),""))</f>
        <v/>
      </c>
      <c r="BY18" s="216" t="str">
        <f t="shared" ref="BY18:BY45" si="85">+IF($AL18="","",IF(AND(BV18=2,BW18=4),+(($N18/VLOOKUP($AL18,$E$66:$E$68,1))),""))</f>
        <v/>
      </c>
      <c r="BZ18" s="156" t="str">
        <f t="shared" si="31"/>
        <v/>
      </c>
      <c r="CA18" s="156" t="str">
        <f t="shared" ref="CA18:CA46" si="86">IF(BW18="","",((BY18-$M$66)/$M$68)*62.4)</f>
        <v/>
      </c>
      <c r="CB18" s="177" t="str">
        <f t="shared" si="32"/>
        <v/>
      </c>
      <c r="CC18" s="175" t="str">
        <f t="shared" si="33"/>
        <v/>
      </c>
      <c r="CD18" s="156" t="str">
        <f t="shared" si="34"/>
        <v/>
      </c>
      <c r="CE18" s="176" t="str">
        <f t="shared" ref="CE18:CE46" si="87">+IF($AL18="","",IF(AND(CC18=2,CD18=6),+($M18/VLOOKUP($AL18,$D$66:$D$68,1)),""))</f>
        <v/>
      </c>
      <c r="CF18" s="216" t="str">
        <f t="shared" ref="CF18:CF46" si="88">+IF($AL18="","",IF(AND(CC18=2,CD18=6),+(($N18/VLOOKUP($AL18,$E$66:$E$68,1))),""))</f>
        <v/>
      </c>
      <c r="CG18" s="156" t="str">
        <f t="shared" si="35"/>
        <v/>
      </c>
      <c r="CH18" s="156" t="str">
        <f t="shared" ref="CH18:CH46" si="89">IF(CE18="","",(((1/$H$67)*(LN(($H$66/(CE18+$H$68)))))*62.4)-(CI18/20))</f>
        <v/>
      </c>
      <c r="CI18" s="156" t="str">
        <f t="shared" ref="CI18:CI46" si="90">IF(CD18="","",((CF18-$M$66)/$M$68)*62.4)</f>
        <v/>
      </c>
      <c r="CJ18" s="175" t="str">
        <f t="shared" si="36"/>
        <v/>
      </c>
      <c r="CK18" s="156" t="str">
        <f t="shared" si="37"/>
        <v/>
      </c>
      <c r="CL18" s="176" t="str">
        <f t="shared" si="38"/>
        <v/>
      </c>
      <c r="CM18" s="216" t="str">
        <f t="shared" ref="CM18:CM46" si="91">+IF($AL18="","",IF(AND(CJ18=2,CK18=8),+(($N18/VLOOKUP($AL18,$E$66:$E$68,1))),""))</f>
        <v/>
      </c>
      <c r="CN18" s="156" t="str">
        <f t="shared" si="39"/>
        <v/>
      </c>
      <c r="CO18" s="156" t="str">
        <f t="shared" si="40"/>
        <v/>
      </c>
      <c r="CP18" s="156" t="str">
        <f t="shared" ref="CP18:CP46" si="92">IF(CK18="","",((CM18-$M$66)/$M$68)*62.4)</f>
        <v/>
      </c>
      <c r="CQ18" s="175" t="str">
        <f t="shared" si="41"/>
        <v/>
      </c>
      <c r="CR18" s="156" t="str">
        <f t="shared" si="42"/>
        <v/>
      </c>
      <c r="CS18" s="156" t="str">
        <f t="shared" si="43"/>
        <v/>
      </c>
      <c r="CT18" s="156" t="str">
        <f t="shared" si="44"/>
        <v/>
      </c>
      <c r="CU18" s="175" t="str">
        <f t="shared" si="45"/>
        <v/>
      </c>
      <c r="CV18" s="156" t="str">
        <f t="shared" si="46"/>
        <v/>
      </c>
      <c r="CW18" s="156" t="str">
        <f t="shared" si="47"/>
        <v/>
      </c>
      <c r="CX18" s="156" t="str">
        <f t="shared" si="48"/>
        <v/>
      </c>
      <c r="CY18" s="156"/>
      <c r="CZ18" s="179"/>
      <c r="DA18" s="155"/>
      <c r="DB18" s="174" t="str">
        <f t="shared" si="49"/>
        <v/>
      </c>
      <c r="DC18" s="155">
        <f>1+DC17</f>
        <v>2</v>
      </c>
      <c r="DD18" s="175" t="str">
        <f t="shared" si="50"/>
        <v/>
      </c>
      <c r="DE18" s="156" t="str">
        <f t="shared" si="51"/>
        <v/>
      </c>
      <c r="DF18" s="178" t="str">
        <f t="shared" si="52"/>
        <v/>
      </c>
      <c r="DG18" s="177" t="str">
        <f t="shared" si="53"/>
        <v/>
      </c>
      <c r="DH18" s="175" t="str">
        <f t="shared" si="54"/>
        <v/>
      </c>
      <c r="DI18" s="156" t="str">
        <f t="shared" si="55"/>
        <v/>
      </c>
      <c r="DJ18" s="176" t="str">
        <f t="shared" si="56"/>
        <v/>
      </c>
      <c r="DK18" s="156" t="str">
        <f t="shared" si="57"/>
        <v/>
      </c>
      <c r="DL18" s="175" t="str">
        <f t="shared" si="58"/>
        <v/>
      </c>
      <c r="DM18" s="156" t="str">
        <f t="shared" si="59"/>
        <v/>
      </c>
      <c r="DN18" s="176" t="str">
        <f t="shared" si="60"/>
        <v/>
      </c>
      <c r="DO18" s="156" t="str">
        <f t="shared" si="61"/>
        <v/>
      </c>
      <c r="DP18" s="175" t="str">
        <f t="shared" si="62"/>
        <v/>
      </c>
      <c r="DQ18" s="156" t="str">
        <f t="shared" si="63"/>
        <v/>
      </c>
      <c r="DR18" s="156" t="str">
        <f t="shared" si="64"/>
        <v/>
      </c>
      <c r="DS18" s="156" t="str">
        <f t="shared" si="65"/>
        <v/>
      </c>
      <c r="DT18" s="175" t="str">
        <f t="shared" si="66"/>
        <v/>
      </c>
      <c r="DU18" s="156" t="str">
        <f t="shared" si="67"/>
        <v/>
      </c>
      <c r="DV18" s="156" t="str">
        <f t="shared" si="68"/>
        <v/>
      </c>
      <c r="DW18" s="156" t="str">
        <f t="shared" si="69"/>
        <v/>
      </c>
      <c r="DX18" s="97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</row>
    <row r="19" spans="1:176" s="87" customFormat="1" ht="12.75" customHeight="1" thickBot="1" x14ac:dyDescent="0.2">
      <c r="A19" s="53"/>
      <c r="B19" s="229">
        <f t="shared" ref="B19:B46" si="93">+B18+1</f>
        <v>3</v>
      </c>
      <c r="C19" s="66"/>
      <c r="D19" s="60"/>
      <c r="E19" s="61"/>
      <c r="F19" s="312"/>
      <c r="G19" s="313"/>
      <c r="H19" s="62"/>
      <c r="I19" s="62"/>
      <c r="J19" s="62"/>
      <c r="K19" s="62"/>
      <c r="L19" s="271"/>
      <c r="M19" s="93"/>
      <c r="N19" s="94"/>
      <c r="O19" s="93"/>
      <c r="P19" s="95"/>
      <c r="Q19" s="233"/>
      <c r="R19" s="233"/>
      <c r="S19" s="280" t="str">
        <f t="shared" si="70"/>
        <v/>
      </c>
      <c r="T19" s="278" t="str">
        <f t="shared" si="71"/>
        <v/>
      </c>
      <c r="U19" s="235" t="str">
        <f t="shared" si="72"/>
        <v/>
      </c>
      <c r="V19" s="63" t="str">
        <f t="shared" si="73"/>
        <v/>
      </c>
      <c r="W19" s="64" t="str">
        <f t="shared" si="0"/>
        <v/>
      </c>
      <c r="X19" s="65" t="str">
        <f t="shared" si="1"/>
        <v/>
      </c>
      <c r="Y19" s="284"/>
      <c r="Z19" s="285" t="e">
        <f t="shared" si="74"/>
        <v>#VALUE!</v>
      </c>
      <c r="AA19" s="53"/>
      <c r="AB19" s="82"/>
      <c r="AC19" s="82"/>
      <c r="AD19" s="82"/>
      <c r="AE19" s="41"/>
      <c r="AF19" s="96" t="str">
        <f t="shared" si="2"/>
        <v/>
      </c>
      <c r="AG19" s="96" t="str">
        <f t="shared" si="3"/>
        <v/>
      </c>
      <c r="AH19" s="96" t="str">
        <f t="shared" si="4"/>
        <v/>
      </c>
      <c r="AI19" s="96"/>
      <c r="AJ19" s="168"/>
      <c r="AK19" s="192">
        <f t="shared" ref="AK19:AK46" si="94">+AK18+1</f>
        <v>3</v>
      </c>
      <c r="AL19" s="174" t="str">
        <f t="shared" si="5"/>
        <v/>
      </c>
      <c r="AM19" s="155">
        <f t="shared" si="6"/>
        <v>3</v>
      </c>
      <c r="AN19" s="175" t="str">
        <f t="shared" si="7"/>
        <v/>
      </c>
      <c r="AO19" s="156" t="str">
        <f t="shared" si="8"/>
        <v/>
      </c>
      <c r="AP19" s="176" t="str">
        <f t="shared" si="75"/>
        <v/>
      </c>
      <c r="AQ19" s="216" t="str">
        <f t="shared" si="76"/>
        <v/>
      </c>
      <c r="AR19" s="178" t="str">
        <f t="shared" si="9"/>
        <v/>
      </c>
      <c r="AS19" s="156" t="str">
        <f t="shared" si="10"/>
        <v/>
      </c>
      <c r="AT19" s="156" t="str">
        <f t="shared" si="77"/>
        <v/>
      </c>
      <c r="AU19" s="175" t="str">
        <f t="shared" si="11"/>
        <v/>
      </c>
      <c r="AV19" s="156" t="str">
        <f t="shared" si="12"/>
        <v/>
      </c>
      <c r="AW19" s="176" t="str">
        <f t="shared" si="78"/>
        <v/>
      </c>
      <c r="AX19" s="216" t="str">
        <f t="shared" si="79"/>
        <v/>
      </c>
      <c r="AY19" s="156" t="str">
        <f t="shared" si="13"/>
        <v/>
      </c>
      <c r="AZ19" s="156" t="str">
        <f t="shared" si="80"/>
        <v/>
      </c>
      <c r="BA19" s="156" t="str">
        <f t="shared" si="81"/>
        <v/>
      </c>
      <c r="BB19" s="175" t="str">
        <f t="shared" si="14"/>
        <v/>
      </c>
      <c r="BC19" s="156" t="str">
        <f t="shared" si="15"/>
        <v/>
      </c>
      <c r="BD19" s="216" t="str">
        <f t="shared" si="16"/>
        <v/>
      </c>
      <c r="BE19" s="216" t="str">
        <f t="shared" si="17"/>
        <v/>
      </c>
      <c r="BF19" s="156" t="str">
        <f t="shared" si="18"/>
        <v/>
      </c>
      <c r="BG19" s="156" t="e">
        <f t="shared" si="82"/>
        <v>#DIV/0!</v>
      </c>
      <c r="BH19" s="156" t="e">
        <f t="shared" si="83"/>
        <v>#VALUE!</v>
      </c>
      <c r="BI19" s="175" t="str">
        <f t="shared" si="19"/>
        <v/>
      </c>
      <c r="BJ19" s="156" t="str">
        <f t="shared" si="20"/>
        <v/>
      </c>
      <c r="BK19" s="176" t="str">
        <f t="shared" si="21"/>
        <v/>
      </c>
      <c r="BL19" s="156" t="str">
        <f t="shared" si="22"/>
        <v/>
      </c>
      <c r="BM19" s="175" t="str">
        <f t="shared" si="23"/>
        <v/>
      </c>
      <c r="BN19" s="156" t="str">
        <f t="shared" si="24"/>
        <v/>
      </c>
      <c r="BO19" s="176" t="str">
        <f t="shared" si="25"/>
        <v/>
      </c>
      <c r="BP19" s="156" t="str">
        <f t="shared" si="26"/>
        <v/>
      </c>
      <c r="BQ19" s="156"/>
      <c r="BR19" s="179"/>
      <c r="BS19" s="180"/>
      <c r="BT19" s="174" t="str">
        <f t="shared" si="27"/>
        <v/>
      </c>
      <c r="BU19" s="155">
        <f t="shared" si="28"/>
        <v>3</v>
      </c>
      <c r="BV19" s="175" t="str">
        <f t="shared" si="29"/>
        <v/>
      </c>
      <c r="BW19" s="156" t="str">
        <f t="shared" si="30"/>
        <v/>
      </c>
      <c r="BX19" s="176" t="str">
        <f t="shared" si="84"/>
        <v/>
      </c>
      <c r="BY19" s="216" t="str">
        <f t="shared" si="85"/>
        <v/>
      </c>
      <c r="BZ19" s="156" t="str">
        <f t="shared" si="31"/>
        <v/>
      </c>
      <c r="CA19" s="156" t="str">
        <f t="shared" si="86"/>
        <v/>
      </c>
      <c r="CB19" s="177" t="str">
        <f t="shared" si="32"/>
        <v/>
      </c>
      <c r="CC19" s="175" t="str">
        <f t="shared" si="33"/>
        <v/>
      </c>
      <c r="CD19" s="156" t="str">
        <f t="shared" si="34"/>
        <v/>
      </c>
      <c r="CE19" s="176" t="str">
        <f t="shared" si="87"/>
        <v/>
      </c>
      <c r="CF19" s="216" t="str">
        <f t="shared" si="88"/>
        <v/>
      </c>
      <c r="CG19" s="156" t="str">
        <f t="shared" si="35"/>
        <v/>
      </c>
      <c r="CH19" s="156" t="str">
        <f t="shared" si="89"/>
        <v/>
      </c>
      <c r="CI19" s="156" t="str">
        <f t="shared" si="90"/>
        <v/>
      </c>
      <c r="CJ19" s="175" t="str">
        <f t="shared" si="36"/>
        <v/>
      </c>
      <c r="CK19" s="156" t="str">
        <f t="shared" si="37"/>
        <v/>
      </c>
      <c r="CL19" s="176" t="str">
        <f t="shared" si="38"/>
        <v/>
      </c>
      <c r="CM19" s="216" t="str">
        <f t="shared" si="91"/>
        <v/>
      </c>
      <c r="CN19" s="156" t="str">
        <f t="shared" si="39"/>
        <v/>
      </c>
      <c r="CO19" s="156" t="str">
        <f t="shared" si="40"/>
        <v/>
      </c>
      <c r="CP19" s="156" t="str">
        <f t="shared" si="92"/>
        <v/>
      </c>
      <c r="CQ19" s="175" t="str">
        <f t="shared" si="41"/>
        <v/>
      </c>
      <c r="CR19" s="156" t="str">
        <f t="shared" si="42"/>
        <v/>
      </c>
      <c r="CS19" s="156" t="str">
        <f t="shared" si="43"/>
        <v/>
      </c>
      <c r="CT19" s="156" t="str">
        <f t="shared" si="44"/>
        <v/>
      </c>
      <c r="CU19" s="175" t="str">
        <f t="shared" si="45"/>
        <v/>
      </c>
      <c r="CV19" s="156" t="str">
        <f t="shared" si="46"/>
        <v/>
      </c>
      <c r="CW19" s="156" t="str">
        <f t="shared" si="47"/>
        <v/>
      </c>
      <c r="CX19" s="156" t="str">
        <f t="shared" si="48"/>
        <v/>
      </c>
      <c r="CY19" s="156"/>
      <c r="CZ19" s="179"/>
      <c r="DA19" s="155"/>
      <c r="DB19" s="174" t="str">
        <f t="shared" si="49"/>
        <v/>
      </c>
      <c r="DC19" s="155">
        <f t="shared" ref="DC19:DC46" si="95">1+DC18</f>
        <v>3</v>
      </c>
      <c r="DD19" s="175" t="str">
        <f t="shared" si="50"/>
        <v/>
      </c>
      <c r="DE19" s="156" t="str">
        <f t="shared" si="51"/>
        <v/>
      </c>
      <c r="DF19" s="178" t="str">
        <f t="shared" si="52"/>
        <v/>
      </c>
      <c r="DG19" s="177" t="str">
        <f t="shared" si="53"/>
        <v/>
      </c>
      <c r="DH19" s="175" t="str">
        <f t="shared" si="54"/>
        <v/>
      </c>
      <c r="DI19" s="156" t="str">
        <f t="shared" si="55"/>
        <v/>
      </c>
      <c r="DJ19" s="176" t="str">
        <f t="shared" si="56"/>
        <v/>
      </c>
      <c r="DK19" s="156" t="str">
        <f t="shared" si="57"/>
        <v/>
      </c>
      <c r="DL19" s="175" t="str">
        <f t="shared" si="58"/>
        <v/>
      </c>
      <c r="DM19" s="156" t="str">
        <f t="shared" si="59"/>
        <v/>
      </c>
      <c r="DN19" s="176" t="str">
        <f t="shared" si="60"/>
        <v/>
      </c>
      <c r="DO19" s="156" t="str">
        <f t="shared" si="61"/>
        <v/>
      </c>
      <c r="DP19" s="175" t="str">
        <f t="shared" si="62"/>
        <v/>
      </c>
      <c r="DQ19" s="156" t="str">
        <f t="shared" si="63"/>
        <v/>
      </c>
      <c r="DR19" s="156" t="str">
        <f t="shared" si="64"/>
        <v/>
      </c>
      <c r="DS19" s="156" t="str">
        <f t="shared" si="65"/>
        <v/>
      </c>
      <c r="DT19" s="175" t="str">
        <f t="shared" si="66"/>
        <v/>
      </c>
      <c r="DU19" s="156" t="str">
        <f t="shared" si="67"/>
        <v/>
      </c>
      <c r="DV19" s="156" t="str">
        <f t="shared" si="68"/>
        <v/>
      </c>
      <c r="DW19" s="156" t="str">
        <f t="shared" si="69"/>
        <v/>
      </c>
      <c r="DX19" s="97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</row>
    <row r="20" spans="1:176" ht="12.75" customHeight="1" thickTop="1" x14ac:dyDescent="0.15">
      <c r="B20" s="229">
        <f t="shared" si="93"/>
        <v>4</v>
      </c>
      <c r="C20" s="59"/>
      <c r="D20" s="60"/>
      <c r="E20" s="61"/>
      <c r="F20" s="312"/>
      <c r="G20" s="313"/>
      <c r="H20" s="62"/>
      <c r="I20" s="62"/>
      <c r="J20" s="62"/>
      <c r="K20" s="62"/>
      <c r="L20" s="271"/>
      <c r="M20" s="93"/>
      <c r="N20" s="94"/>
      <c r="O20" s="93"/>
      <c r="P20" s="95"/>
      <c r="Q20" s="233"/>
      <c r="R20" s="233"/>
      <c r="S20" s="280" t="str">
        <f t="shared" si="70"/>
        <v/>
      </c>
      <c r="T20" s="278" t="str">
        <f t="shared" si="71"/>
        <v/>
      </c>
      <c r="U20" s="235" t="str">
        <f t="shared" si="72"/>
        <v/>
      </c>
      <c r="V20" s="63" t="str">
        <f t="shared" si="73"/>
        <v/>
      </c>
      <c r="W20" s="64" t="str">
        <f t="shared" si="0"/>
        <v/>
      </c>
      <c r="X20" s="65" t="str">
        <f t="shared" si="1"/>
        <v/>
      </c>
      <c r="Y20" s="284"/>
      <c r="Z20" s="285" t="e">
        <f t="shared" si="74"/>
        <v>#VALUE!</v>
      </c>
      <c r="AA20" s="53"/>
      <c r="AB20" s="82"/>
      <c r="AC20" s="82"/>
      <c r="AD20" s="82"/>
      <c r="AE20" s="41"/>
      <c r="AF20" s="96" t="str">
        <f t="shared" si="2"/>
        <v/>
      </c>
      <c r="AG20" s="96" t="str">
        <f t="shared" si="3"/>
        <v/>
      </c>
      <c r="AH20" s="96" t="str">
        <f t="shared" si="4"/>
        <v/>
      </c>
      <c r="AI20" s="96"/>
      <c r="AJ20" s="168"/>
      <c r="AK20" s="192">
        <f t="shared" si="94"/>
        <v>4</v>
      </c>
      <c r="AL20" s="174" t="str">
        <f t="shared" si="5"/>
        <v/>
      </c>
      <c r="AM20" s="155">
        <f t="shared" si="6"/>
        <v>4</v>
      </c>
      <c r="AN20" s="175" t="str">
        <f t="shared" si="7"/>
        <v/>
      </c>
      <c r="AO20" s="156" t="str">
        <f t="shared" si="8"/>
        <v/>
      </c>
      <c r="AP20" s="176" t="str">
        <f t="shared" si="75"/>
        <v/>
      </c>
      <c r="AQ20" s="216" t="str">
        <f t="shared" si="76"/>
        <v/>
      </c>
      <c r="AR20" s="178" t="str">
        <f t="shared" si="9"/>
        <v/>
      </c>
      <c r="AS20" s="156" t="str">
        <f t="shared" si="10"/>
        <v/>
      </c>
      <c r="AT20" s="156" t="str">
        <f t="shared" si="77"/>
        <v/>
      </c>
      <c r="AU20" s="175" t="str">
        <f t="shared" si="11"/>
        <v/>
      </c>
      <c r="AV20" s="156" t="str">
        <f t="shared" si="12"/>
        <v/>
      </c>
      <c r="AW20" s="176" t="str">
        <f t="shared" si="78"/>
        <v/>
      </c>
      <c r="AX20" s="216" t="str">
        <f t="shared" si="79"/>
        <v/>
      </c>
      <c r="AY20" s="156" t="str">
        <f t="shared" si="13"/>
        <v/>
      </c>
      <c r="AZ20" s="156" t="str">
        <f t="shared" si="80"/>
        <v/>
      </c>
      <c r="BA20" s="156" t="str">
        <f t="shared" si="81"/>
        <v/>
      </c>
      <c r="BB20" s="175" t="str">
        <f t="shared" si="14"/>
        <v/>
      </c>
      <c r="BC20" s="156" t="str">
        <f t="shared" si="15"/>
        <v/>
      </c>
      <c r="BD20" s="216" t="str">
        <f t="shared" si="16"/>
        <v/>
      </c>
      <c r="BE20" s="216" t="str">
        <f t="shared" si="17"/>
        <v/>
      </c>
      <c r="BF20" s="156" t="str">
        <f t="shared" si="18"/>
        <v/>
      </c>
      <c r="BG20" s="156" t="e">
        <f t="shared" si="82"/>
        <v>#DIV/0!</v>
      </c>
      <c r="BH20" s="156" t="e">
        <f t="shared" si="83"/>
        <v>#VALUE!</v>
      </c>
      <c r="BI20" s="175" t="str">
        <f t="shared" si="19"/>
        <v/>
      </c>
      <c r="BJ20" s="156" t="str">
        <f t="shared" si="20"/>
        <v/>
      </c>
      <c r="BK20" s="176" t="str">
        <f t="shared" si="21"/>
        <v/>
      </c>
      <c r="BL20" s="156" t="str">
        <f t="shared" si="22"/>
        <v/>
      </c>
      <c r="BM20" s="175" t="str">
        <f t="shared" si="23"/>
        <v/>
      </c>
      <c r="BN20" s="156" t="str">
        <f t="shared" si="24"/>
        <v/>
      </c>
      <c r="BO20" s="176" t="str">
        <f t="shared" si="25"/>
        <v/>
      </c>
      <c r="BP20" s="156" t="str">
        <f t="shared" si="26"/>
        <v/>
      </c>
      <c r="BQ20" s="156"/>
      <c r="BR20" s="179"/>
      <c r="BS20" s="180"/>
      <c r="BT20" s="174" t="str">
        <f t="shared" si="27"/>
        <v/>
      </c>
      <c r="BU20" s="155">
        <f t="shared" si="28"/>
        <v>4</v>
      </c>
      <c r="BV20" s="175" t="str">
        <f t="shared" si="29"/>
        <v/>
      </c>
      <c r="BW20" s="156" t="str">
        <f t="shared" si="30"/>
        <v/>
      </c>
      <c r="BX20" s="176" t="str">
        <f t="shared" si="84"/>
        <v/>
      </c>
      <c r="BY20" s="216" t="str">
        <f t="shared" si="85"/>
        <v/>
      </c>
      <c r="BZ20" s="156" t="str">
        <f t="shared" si="31"/>
        <v/>
      </c>
      <c r="CA20" s="156" t="str">
        <f t="shared" si="86"/>
        <v/>
      </c>
      <c r="CB20" s="177" t="str">
        <f t="shared" si="32"/>
        <v/>
      </c>
      <c r="CC20" s="175" t="str">
        <f t="shared" si="33"/>
        <v/>
      </c>
      <c r="CD20" s="156" t="str">
        <f t="shared" si="34"/>
        <v/>
      </c>
      <c r="CE20" s="176" t="str">
        <f t="shared" si="87"/>
        <v/>
      </c>
      <c r="CF20" s="216" t="str">
        <f t="shared" si="88"/>
        <v/>
      </c>
      <c r="CG20" s="156" t="str">
        <f t="shared" si="35"/>
        <v/>
      </c>
      <c r="CH20" s="156" t="str">
        <f t="shared" si="89"/>
        <v/>
      </c>
      <c r="CI20" s="156" t="str">
        <f t="shared" si="90"/>
        <v/>
      </c>
      <c r="CJ20" s="175" t="str">
        <f t="shared" si="36"/>
        <v/>
      </c>
      <c r="CK20" s="156" t="str">
        <f t="shared" si="37"/>
        <v/>
      </c>
      <c r="CL20" s="176" t="str">
        <f t="shared" si="38"/>
        <v/>
      </c>
      <c r="CM20" s="216" t="str">
        <f t="shared" si="91"/>
        <v/>
      </c>
      <c r="CN20" s="156" t="str">
        <f t="shared" si="39"/>
        <v/>
      </c>
      <c r="CO20" s="156" t="str">
        <f t="shared" si="40"/>
        <v/>
      </c>
      <c r="CP20" s="156" t="str">
        <f t="shared" si="92"/>
        <v/>
      </c>
      <c r="CQ20" s="175" t="str">
        <f t="shared" si="41"/>
        <v/>
      </c>
      <c r="CR20" s="156" t="str">
        <f t="shared" si="42"/>
        <v/>
      </c>
      <c r="CS20" s="156" t="str">
        <f t="shared" si="43"/>
        <v/>
      </c>
      <c r="CT20" s="156" t="str">
        <f t="shared" si="44"/>
        <v/>
      </c>
      <c r="CU20" s="175" t="str">
        <f t="shared" si="45"/>
        <v/>
      </c>
      <c r="CV20" s="156" t="str">
        <f t="shared" si="46"/>
        <v/>
      </c>
      <c r="CW20" s="156" t="str">
        <f t="shared" si="47"/>
        <v/>
      </c>
      <c r="CX20" s="156" t="str">
        <f t="shared" si="48"/>
        <v/>
      </c>
      <c r="CY20" s="156"/>
      <c r="CZ20" s="179"/>
      <c r="DA20" s="155"/>
      <c r="DB20" s="174" t="str">
        <f t="shared" si="49"/>
        <v/>
      </c>
      <c r="DC20" s="155">
        <f t="shared" si="95"/>
        <v>4</v>
      </c>
      <c r="DD20" s="175" t="str">
        <f t="shared" si="50"/>
        <v/>
      </c>
      <c r="DE20" s="156" t="str">
        <f t="shared" si="51"/>
        <v/>
      </c>
      <c r="DF20" s="178" t="str">
        <f t="shared" si="52"/>
        <v/>
      </c>
      <c r="DG20" s="177" t="str">
        <f t="shared" si="53"/>
        <v/>
      </c>
      <c r="DH20" s="175" t="str">
        <f t="shared" si="54"/>
        <v/>
      </c>
      <c r="DI20" s="156" t="str">
        <f t="shared" si="55"/>
        <v/>
      </c>
      <c r="DJ20" s="176" t="str">
        <f t="shared" si="56"/>
        <v/>
      </c>
      <c r="DK20" s="156" t="str">
        <f t="shared" si="57"/>
        <v/>
      </c>
      <c r="DL20" s="175" t="str">
        <f t="shared" si="58"/>
        <v/>
      </c>
      <c r="DM20" s="156" t="str">
        <f t="shared" si="59"/>
        <v/>
      </c>
      <c r="DN20" s="176" t="str">
        <f t="shared" si="60"/>
        <v/>
      </c>
      <c r="DO20" s="156" t="str">
        <f t="shared" si="61"/>
        <v/>
      </c>
      <c r="DP20" s="175" t="str">
        <f t="shared" si="62"/>
        <v/>
      </c>
      <c r="DQ20" s="156" t="str">
        <f t="shared" si="63"/>
        <v/>
      </c>
      <c r="DR20" s="156" t="str">
        <f t="shared" si="64"/>
        <v/>
      </c>
      <c r="DS20" s="156" t="str">
        <f t="shared" si="65"/>
        <v/>
      </c>
      <c r="DT20" s="175" t="str">
        <f t="shared" si="66"/>
        <v/>
      </c>
      <c r="DU20" s="156" t="str">
        <f t="shared" si="67"/>
        <v/>
      </c>
      <c r="DV20" s="156" t="str">
        <f t="shared" si="68"/>
        <v/>
      </c>
      <c r="DW20" s="156" t="str">
        <f t="shared" si="69"/>
        <v/>
      </c>
      <c r="DX20" s="97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</row>
    <row r="21" spans="1:176" ht="12.75" customHeight="1" x14ac:dyDescent="0.15">
      <c r="B21" s="229">
        <f t="shared" si="93"/>
        <v>5</v>
      </c>
      <c r="C21" s="59"/>
      <c r="D21" s="60"/>
      <c r="E21" s="61"/>
      <c r="F21" s="312"/>
      <c r="G21" s="313"/>
      <c r="H21" s="62"/>
      <c r="I21" s="62"/>
      <c r="J21" s="62"/>
      <c r="K21" s="62"/>
      <c r="L21" s="271"/>
      <c r="M21" s="93"/>
      <c r="N21" s="94"/>
      <c r="O21" s="93"/>
      <c r="P21" s="95"/>
      <c r="Q21" s="233"/>
      <c r="R21" s="233"/>
      <c r="S21" s="280" t="str">
        <f t="shared" si="70"/>
        <v/>
      </c>
      <c r="T21" s="278" t="str">
        <f t="shared" si="71"/>
        <v/>
      </c>
      <c r="U21" s="235" t="str">
        <f t="shared" si="72"/>
        <v/>
      </c>
      <c r="V21" s="63" t="str">
        <f t="shared" si="73"/>
        <v/>
      </c>
      <c r="W21" s="64" t="str">
        <f t="shared" si="0"/>
        <v/>
      </c>
      <c r="X21" s="65" t="str">
        <f t="shared" si="1"/>
        <v/>
      </c>
      <c r="Y21" s="284"/>
      <c r="Z21" s="285" t="e">
        <f t="shared" si="74"/>
        <v>#VALUE!</v>
      </c>
      <c r="AA21" s="53"/>
      <c r="AB21" s="82"/>
      <c r="AC21" s="82"/>
      <c r="AD21" s="82"/>
      <c r="AE21" s="41"/>
      <c r="AF21" s="96" t="str">
        <f t="shared" si="2"/>
        <v/>
      </c>
      <c r="AG21" s="96" t="str">
        <f t="shared" si="3"/>
        <v/>
      </c>
      <c r="AH21" s="96" t="str">
        <f t="shared" si="4"/>
        <v/>
      </c>
      <c r="AI21" s="96"/>
      <c r="AJ21" s="168"/>
      <c r="AK21" s="192">
        <f t="shared" si="94"/>
        <v>5</v>
      </c>
      <c r="AL21" s="174" t="str">
        <f t="shared" si="5"/>
        <v/>
      </c>
      <c r="AM21" s="155">
        <f t="shared" si="6"/>
        <v>5</v>
      </c>
      <c r="AN21" s="175" t="str">
        <f t="shared" si="7"/>
        <v/>
      </c>
      <c r="AO21" s="156" t="str">
        <f t="shared" si="8"/>
        <v/>
      </c>
      <c r="AP21" s="176" t="str">
        <f t="shared" si="75"/>
        <v/>
      </c>
      <c r="AQ21" s="216" t="str">
        <f t="shared" si="76"/>
        <v/>
      </c>
      <c r="AR21" s="178" t="str">
        <f t="shared" si="9"/>
        <v/>
      </c>
      <c r="AS21" s="156" t="str">
        <f t="shared" si="10"/>
        <v/>
      </c>
      <c r="AT21" s="156" t="str">
        <f t="shared" si="77"/>
        <v/>
      </c>
      <c r="AU21" s="175" t="str">
        <f t="shared" si="11"/>
        <v/>
      </c>
      <c r="AV21" s="156" t="str">
        <f t="shared" si="12"/>
        <v/>
      </c>
      <c r="AW21" s="176" t="str">
        <f t="shared" si="78"/>
        <v/>
      </c>
      <c r="AX21" s="216" t="str">
        <f t="shared" si="79"/>
        <v/>
      </c>
      <c r="AY21" s="156" t="str">
        <f t="shared" si="13"/>
        <v/>
      </c>
      <c r="AZ21" s="156" t="str">
        <f t="shared" si="80"/>
        <v/>
      </c>
      <c r="BA21" s="156" t="str">
        <f t="shared" si="81"/>
        <v/>
      </c>
      <c r="BB21" s="175" t="str">
        <f t="shared" si="14"/>
        <v/>
      </c>
      <c r="BC21" s="156" t="str">
        <f t="shared" si="15"/>
        <v/>
      </c>
      <c r="BD21" s="216" t="str">
        <f t="shared" si="16"/>
        <v/>
      </c>
      <c r="BE21" s="216" t="str">
        <f t="shared" si="17"/>
        <v/>
      </c>
      <c r="BF21" s="156" t="str">
        <f t="shared" si="18"/>
        <v/>
      </c>
      <c r="BG21" s="156" t="e">
        <f t="shared" si="82"/>
        <v>#DIV/0!</v>
      </c>
      <c r="BH21" s="156" t="e">
        <f t="shared" si="83"/>
        <v>#VALUE!</v>
      </c>
      <c r="BI21" s="175" t="str">
        <f t="shared" si="19"/>
        <v/>
      </c>
      <c r="BJ21" s="156" t="str">
        <f t="shared" si="20"/>
        <v/>
      </c>
      <c r="BK21" s="176" t="str">
        <f t="shared" si="21"/>
        <v/>
      </c>
      <c r="BL21" s="156" t="str">
        <f t="shared" si="22"/>
        <v/>
      </c>
      <c r="BM21" s="175" t="str">
        <f t="shared" si="23"/>
        <v/>
      </c>
      <c r="BN21" s="156" t="str">
        <f t="shared" si="24"/>
        <v/>
      </c>
      <c r="BO21" s="176" t="str">
        <f t="shared" si="25"/>
        <v/>
      </c>
      <c r="BP21" s="156" t="str">
        <f t="shared" si="26"/>
        <v/>
      </c>
      <c r="BQ21" s="156"/>
      <c r="BR21" s="179"/>
      <c r="BS21" s="180"/>
      <c r="BT21" s="174" t="str">
        <f t="shared" si="27"/>
        <v/>
      </c>
      <c r="BU21" s="155">
        <f t="shared" si="28"/>
        <v>5</v>
      </c>
      <c r="BV21" s="175" t="str">
        <f t="shared" si="29"/>
        <v/>
      </c>
      <c r="BW21" s="156" t="str">
        <f t="shared" si="30"/>
        <v/>
      </c>
      <c r="BX21" s="176" t="str">
        <f t="shared" si="84"/>
        <v/>
      </c>
      <c r="BY21" s="216" t="str">
        <f t="shared" si="85"/>
        <v/>
      </c>
      <c r="BZ21" s="156" t="str">
        <f t="shared" si="31"/>
        <v/>
      </c>
      <c r="CA21" s="156" t="str">
        <f t="shared" si="86"/>
        <v/>
      </c>
      <c r="CB21" s="177" t="str">
        <f t="shared" si="32"/>
        <v/>
      </c>
      <c r="CC21" s="175" t="str">
        <f t="shared" si="33"/>
        <v/>
      </c>
      <c r="CD21" s="156" t="str">
        <f t="shared" si="34"/>
        <v/>
      </c>
      <c r="CE21" s="176" t="str">
        <f t="shared" si="87"/>
        <v/>
      </c>
      <c r="CF21" s="216" t="str">
        <f t="shared" si="88"/>
        <v/>
      </c>
      <c r="CG21" s="156" t="str">
        <f t="shared" si="35"/>
        <v/>
      </c>
      <c r="CH21" s="156" t="str">
        <f t="shared" si="89"/>
        <v/>
      </c>
      <c r="CI21" s="156" t="str">
        <f t="shared" si="90"/>
        <v/>
      </c>
      <c r="CJ21" s="175" t="str">
        <f t="shared" si="36"/>
        <v/>
      </c>
      <c r="CK21" s="156" t="str">
        <f t="shared" si="37"/>
        <v/>
      </c>
      <c r="CL21" s="176" t="str">
        <f t="shared" si="38"/>
        <v/>
      </c>
      <c r="CM21" s="216" t="str">
        <f t="shared" si="91"/>
        <v/>
      </c>
      <c r="CN21" s="156" t="str">
        <f t="shared" si="39"/>
        <v/>
      </c>
      <c r="CO21" s="156" t="str">
        <f t="shared" si="40"/>
        <v/>
      </c>
      <c r="CP21" s="156" t="str">
        <f t="shared" si="92"/>
        <v/>
      </c>
      <c r="CQ21" s="175" t="str">
        <f t="shared" si="41"/>
        <v/>
      </c>
      <c r="CR21" s="156" t="str">
        <f t="shared" si="42"/>
        <v/>
      </c>
      <c r="CS21" s="156" t="str">
        <f t="shared" si="43"/>
        <v/>
      </c>
      <c r="CT21" s="156" t="str">
        <f t="shared" si="44"/>
        <v/>
      </c>
      <c r="CU21" s="175" t="str">
        <f t="shared" si="45"/>
        <v/>
      </c>
      <c r="CV21" s="156" t="str">
        <f t="shared" si="46"/>
        <v/>
      </c>
      <c r="CW21" s="156" t="str">
        <f t="shared" si="47"/>
        <v/>
      </c>
      <c r="CX21" s="156" t="str">
        <f t="shared" si="48"/>
        <v/>
      </c>
      <c r="CY21" s="156"/>
      <c r="CZ21" s="179"/>
      <c r="DA21" s="155"/>
      <c r="DB21" s="174" t="str">
        <f t="shared" si="49"/>
        <v/>
      </c>
      <c r="DC21" s="155">
        <f t="shared" si="95"/>
        <v>5</v>
      </c>
      <c r="DD21" s="175" t="str">
        <f t="shared" si="50"/>
        <v/>
      </c>
      <c r="DE21" s="156" t="str">
        <f t="shared" si="51"/>
        <v/>
      </c>
      <c r="DF21" s="178" t="str">
        <f t="shared" si="52"/>
        <v/>
      </c>
      <c r="DG21" s="177" t="str">
        <f t="shared" si="53"/>
        <v/>
      </c>
      <c r="DH21" s="175" t="str">
        <f t="shared" si="54"/>
        <v/>
      </c>
      <c r="DI21" s="156" t="str">
        <f t="shared" si="55"/>
        <v/>
      </c>
      <c r="DJ21" s="176" t="str">
        <f t="shared" si="56"/>
        <v/>
      </c>
      <c r="DK21" s="156" t="str">
        <f t="shared" si="57"/>
        <v/>
      </c>
      <c r="DL21" s="175" t="str">
        <f t="shared" si="58"/>
        <v/>
      </c>
      <c r="DM21" s="156" t="str">
        <f t="shared" si="59"/>
        <v/>
      </c>
      <c r="DN21" s="176" t="str">
        <f t="shared" si="60"/>
        <v/>
      </c>
      <c r="DO21" s="156" t="str">
        <f t="shared" si="61"/>
        <v/>
      </c>
      <c r="DP21" s="175" t="str">
        <f t="shared" si="62"/>
        <v/>
      </c>
      <c r="DQ21" s="156" t="str">
        <f t="shared" si="63"/>
        <v/>
      </c>
      <c r="DR21" s="156" t="str">
        <f t="shared" si="64"/>
        <v/>
      </c>
      <c r="DS21" s="156" t="str">
        <f t="shared" si="65"/>
        <v/>
      </c>
      <c r="DT21" s="175" t="str">
        <f t="shared" si="66"/>
        <v/>
      </c>
      <c r="DU21" s="156" t="str">
        <f t="shared" si="67"/>
        <v/>
      </c>
      <c r="DV21" s="156" t="str">
        <f t="shared" si="68"/>
        <v/>
      </c>
      <c r="DW21" s="156" t="str">
        <f t="shared" si="69"/>
        <v/>
      </c>
      <c r="DX21" s="97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</row>
    <row r="22" spans="1:176" s="87" customFormat="1" ht="12.75" customHeight="1" thickBot="1" x14ac:dyDescent="0.2">
      <c r="A22" s="53"/>
      <c r="B22" s="229">
        <f t="shared" si="93"/>
        <v>6</v>
      </c>
      <c r="C22" s="66"/>
      <c r="D22" s="60"/>
      <c r="E22" s="61"/>
      <c r="F22" s="312"/>
      <c r="G22" s="313"/>
      <c r="H22" s="62"/>
      <c r="I22" s="62"/>
      <c r="J22" s="62"/>
      <c r="K22" s="62"/>
      <c r="L22" s="271"/>
      <c r="M22" s="93"/>
      <c r="N22" s="94"/>
      <c r="O22" s="93"/>
      <c r="P22" s="95"/>
      <c r="Q22" s="233"/>
      <c r="R22" s="233"/>
      <c r="S22" s="280" t="str">
        <f t="shared" si="70"/>
        <v/>
      </c>
      <c r="T22" s="278" t="str">
        <f t="shared" si="71"/>
        <v/>
      </c>
      <c r="U22" s="235" t="str">
        <f t="shared" si="72"/>
        <v/>
      </c>
      <c r="V22" s="63" t="str">
        <f t="shared" si="73"/>
        <v/>
      </c>
      <c r="W22" s="64" t="str">
        <f t="shared" si="0"/>
        <v/>
      </c>
      <c r="X22" s="65" t="str">
        <f t="shared" si="1"/>
        <v/>
      </c>
      <c r="Y22" s="284"/>
      <c r="Z22" s="285" t="e">
        <f t="shared" si="74"/>
        <v>#VALUE!</v>
      </c>
      <c r="AA22" s="53"/>
      <c r="AB22" s="82"/>
      <c r="AC22" s="82"/>
      <c r="AD22" s="82"/>
      <c r="AE22" s="41"/>
      <c r="AF22" s="96" t="str">
        <f t="shared" si="2"/>
        <v/>
      </c>
      <c r="AG22" s="96" t="str">
        <f t="shared" si="3"/>
        <v/>
      </c>
      <c r="AH22" s="96" t="str">
        <f t="shared" si="4"/>
        <v/>
      </c>
      <c r="AI22" s="96"/>
      <c r="AJ22" s="168"/>
      <c r="AK22" s="192">
        <f t="shared" si="94"/>
        <v>6</v>
      </c>
      <c r="AL22" s="174" t="str">
        <f t="shared" si="5"/>
        <v/>
      </c>
      <c r="AM22" s="155">
        <f t="shared" si="6"/>
        <v>6</v>
      </c>
      <c r="AN22" s="175" t="str">
        <f t="shared" si="7"/>
        <v/>
      </c>
      <c r="AO22" s="156" t="str">
        <f t="shared" si="8"/>
        <v/>
      </c>
      <c r="AP22" s="176" t="str">
        <f t="shared" si="75"/>
        <v/>
      </c>
      <c r="AQ22" s="216" t="str">
        <f t="shared" si="76"/>
        <v/>
      </c>
      <c r="AR22" s="178" t="str">
        <f t="shared" si="9"/>
        <v/>
      </c>
      <c r="AS22" s="156" t="str">
        <f t="shared" si="10"/>
        <v/>
      </c>
      <c r="AT22" s="156" t="str">
        <f t="shared" si="77"/>
        <v/>
      </c>
      <c r="AU22" s="175" t="str">
        <f t="shared" si="11"/>
        <v/>
      </c>
      <c r="AV22" s="156" t="str">
        <f t="shared" si="12"/>
        <v/>
      </c>
      <c r="AW22" s="176" t="str">
        <f t="shared" si="78"/>
        <v/>
      </c>
      <c r="AX22" s="216" t="str">
        <f t="shared" si="79"/>
        <v/>
      </c>
      <c r="AY22" s="156" t="str">
        <f t="shared" si="13"/>
        <v/>
      </c>
      <c r="AZ22" s="156" t="str">
        <f t="shared" si="80"/>
        <v/>
      </c>
      <c r="BA22" s="156" t="str">
        <f t="shared" si="81"/>
        <v/>
      </c>
      <c r="BB22" s="175" t="str">
        <f t="shared" si="14"/>
        <v/>
      </c>
      <c r="BC22" s="156" t="str">
        <f t="shared" si="15"/>
        <v/>
      </c>
      <c r="BD22" s="216" t="str">
        <f t="shared" si="16"/>
        <v/>
      </c>
      <c r="BE22" s="216" t="str">
        <f t="shared" si="17"/>
        <v/>
      </c>
      <c r="BF22" s="156" t="str">
        <f t="shared" si="18"/>
        <v/>
      </c>
      <c r="BG22" s="156" t="e">
        <f t="shared" si="82"/>
        <v>#DIV/0!</v>
      </c>
      <c r="BH22" s="156" t="e">
        <f t="shared" si="83"/>
        <v>#VALUE!</v>
      </c>
      <c r="BI22" s="175" t="str">
        <f t="shared" si="19"/>
        <v/>
      </c>
      <c r="BJ22" s="156" t="str">
        <f t="shared" si="20"/>
        <v/>
      </c>
      <c r="BK22" s="176" t="str">
        <f t="shared" si="21"/>
        <v/>
      </c>
      <c r="BL22" s="156" t="str">
        <f t="shared" si="22"/>
        <v/>
      </c>
      <c r="BM22" s="175" t="str">
        <f t="shared" si="23"/>
        <v/>
      </c>
      <c r="BN22" s="156" t="str">
        <f t="shared" si="24"/>
        <v/>
      </c>
      <c r="BO22" s="176" t="str">
        <f t="shared" si="25"/>
        <v/>
      </c>
      <c r="BP22" s="156" t="str">
        <f t="shared" si="26"/>
        <v/>
      </c>
      <c r="BQ22" s="156"/>
      <c r="BR22" s="179"/>
      <c r="BS22" s="180"/>
      <c r="BT22" s="174" t="str">
        <f t="shared" si="27"/>
        <v/>
      </c>
      <c r="BU22" s="155">
        <f t="shared" si="28"/>
        <v>6</v>
      </c>
      <c r="BV22" s="175" t="str">
        <f t="shared" si="29"/>
        <v/>
      </c>
      <c r="BW22" s="156" t="str">
        <f t="shared" si="30"/>
        <v/>
      </c>
      <c r="BX22" s="176" t="str">
        <f t="shared" si="84"/>
        <v/>
      </c>
      <c r="BY22" s="216" t="str">
        <f t="shared" si="85"/>
        <v/>
      </c>
      <c r="BZ22" s="156" t="str">
        <f t="shared" si="31"/>
        <v/>
      </c>
      <c r="CA22" s="156" t="str">
        <f t="shared" si="86"/>
        <v/>
      </c>
      <c r="CB22" s="177" t="str">
        <f t="shared" si="32"/>
        <v/>
      </c>
      <c r="CC22" s="175" t="str">
        <f t="shared" si="33"/>
        <v/>
      </c>
      <c r="CD22" s="156" t="str">
        <f t="shared" si="34"/>
        <v/>
      </c>
      <c r="CE22" s="176" t="str">
        <f t="shared" si="87"/>
        <v/>
      </c>
      <c r="CF22" s="216" t="str">
        <f t="shared" si="88"/>
        <v/>
      </c>
      <c r="CG22" s="156" t="str">
        <f t="shared" si="35"/>
        <v/>
      </c>
      <c r="CH22" s="156" t="str">
        <f t="shared" si="89"/>
        <v/>
      </c>
      <c r="CI22" s="156" t="str">
        <f t="shared" si="90"/>
        <v/>
      </c>
      <c r="CJ22" s="175" t="str">
        <f t="shared" si="36"/>
        <v/>
      </c>
      <c r="CK22" s="156" t="str">
        <f t="shared" si="37"/>
        <v/>
      </c>
      <c r="CL22" s="176" t="str">
        <f t="shared" si="38"/>
        <v/>
      </c>
      <c r="CM22" s="216" t="str">
        <f t="shared" si="91"/>
        <v/>
      </c>
      <c r="CN22" s="156" t="str">
        <f t="shared" si="39"/>
        <v/>
      </c>
      <c r="CO22" s="156" t="str">
        <f t="shared" si="40"/>
        <v/>
      </c>
      <c r="CP22" s="156" t="str">
        <f t="shared" si="92"/>
        <v/>
      </c>
      <c r="CQ22" s="175" t="str">
        <f t="shared" si="41"/>
        <v/>
      </c>
      <c r="CR22" s="156" t="str">
        <f t="shared" si="42"/>
        <v/>
      </c>
      <c r="CS22" s="156" t="str">
        <f t="shared" si="43"/>
        <v/>
      </c>
      <c r="CT22" s="156" t="str">
        <f t="shared" si="44"/>
        <v/>
      </c>
      <c r="CU22" s="175" t="str">
        <f t="shared" si="45"/>
        <v/>
      </c>
      <c r="CV22" s="156" t="str">
        <f t="shared" si="46"/>
        <v/>
      </c>
      <c r="CW22" s="156" t="str">
        <f t="shared" si="47"/>
        <v/>
      </c>
      <c r="CX22" s="156" t="str">
        <f t="shared" si="48"/>
        <v/>
      </c>
      <c r="CY22" s="156"/>
      <c r="CZ22" s="179"/>
      <c r="DA22" s="155"/>
      <c r="DB22" s="174" t="str">
        <f t="shared" si="49"/>
        <v/>
      </c>
      <c r="DC22" s="155">
        <f t="shared" si="95"/>
        <v>6</v>
      </c>
      <c r="DD22" s="175" t="str">
        <f t="shared" si="50"/>
        <v/>
      </c>
      <c r="DE22" s="156" t="str">
        <f t="shared" si="51"/>
        <v/>
      </c>
      <c r="DF22" s="178" t="str">
        <f t="shared" si="52"/>
        <v/>
      </c>
      <c r="DG22" s="177" t="str">
        <f t="shared" si="53"/>
        <v/>
      </c>
      <c r="DH22" s="175" t="str">
        <f t="shared" si="54"/>
        <v/>
      </c>
      <c r="DI22" s="156" t="str">
        <f t="shared" si="55"/>
        <v/>
      </c>
      <c r="DJ22" s="176" t="str">
        <f t="shared" si="56"/>
        <v/>
      </c>
      <c r="DK22" s="156" t="str">
        <f t="shared" si="57"/>
        <v/>
      </c>
      <c r="DL22" s="175" t="str">
        <f t="shared" si="58"/>
        <v/>
      </c>
      <c r="DM22" s="156" t="str">
        <f t="shared" si="59"/>
        <v/>
      </c>
      <c r="DN22" s="176" t="str">
        <f t="shared" si="60"/>
        <v/>
      </c>
      <c r="DO22" s="156" t="str">
        <f t="shared" si="61"/>
        <v/>
      </c>
      <c r="DP22" s="175" t="str">
        <f t="shared" si="62"/>
        <v/>
      </c>
      <c r="DQ22" s="156" t="str">
        <f t="shared" si="63"/>
        <v/>
      </c>
      <c r="DR22" s="156" t="str">
        <f t="shared" si="64"/>
        <v/>
      </c>
      <c r="DS22" s="156" t="str">
        <f t="shared" si="65"/>
        <v/>
      </c>
      <c r="DT22" s="175" t="str">
        <f t="shared" si="66"/>
        <v/>
      </c>
      <c r="DU22" s="156" t="str">
        <f t="shared" si="67"/>
        <v/>
      </c>
      <c r="DV22" s="156" t="str">
        <f t="shared" si="68"/>
        <v/>
      </c>
      <c r="DW22" s="156" t="str">
        <f t="shared" si="69"/>
        <v/>
      </c>
      <c r="DX22" s="97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</row>
    <row r="23" spans="1:176" ht="12.75" customHeight="1" thickTop="1" x14ac:dyDescent="0.15">
      <c r="B23" s="229">
        <f t="shared" si="93"/>
        <v>7</v>
      </c>
      <c r="C23" s="59"/>
      <c r="D23" s="60"/>
      <c r="E23" s="61"/>
      <c r="F23" s="312"/>
      <c r="G23" s="313"/>
      <c r="H23" s="62"/>
      <c r="I23" s="62"/>
      <c r="J23" s="62"/>
      <c r="K23" s="62"/>
      <c r="L23" s="271"/>
      <c r="M23" s="93"/>
      <c r="N23" s="94"/>
      <c r="O23" s="93"/>
      <c r="P23" s="95"/>
      <c r="Q23" s="233"/>
      <c r="R23" s="233"/>
      <c r="S23" s="280" t="str">
        <f t="shared" si="70"/>
        <v/>
      </c>
      <c r="T23" s="278" t="str">
        <f t="shared" si="71"/>
        <v/>
      </c>
      <c r="U23" s="235" t="str">
        <f t="shared" si="72"/>
        <v/>
      </c>
      <c r="V23" s="63" t="str">
        <f t="shared" si="73"/>
        <v/>
      </c>
      <c r="W23" s="64" t="str">
        <f t="shared" si="0"/>
        <v/>
      </c>
      <c r="X23" s="65" t="str">
        <f t="shared" si="1"/>
        <v/>
      </c>
      <c r="Y23" s="284"/>
      <c r="Z23" s="285" t="e">
        <f t="shared" si="74"/>
        <v>#VALUE!</v>
      </c>
      <c r="AA23" s="53"/>
      <c r="AB23" s="41"/>
      <c r="AC23" s="41"/>
      <c r="AD23" s="41"/>
      <c r="AE23" s="41"/>
      <c r="AF23" s="96" t="str">
        <f t="shared" si="2"/>
        <v/>
      </c>
      <c r="AG23" s="96" t="str">
        <f t="shared" si="3"/>
        <v/>
      </c>
      <c r="AH23" s="96" t="str">
        <f t="shared" si="4"/>
        <v/>
      </c>
      <c r="AI23" s="96" t="str">
        <f>+IF(H23=1,X23,"")</f>
        <v/>
      </c>
      <c r="AJ23" s="168"/>
      <c r="AK23" s="192">
        <f t="shared" si="94"/>
        <v>7</v>
      </c>
      <c r="AL23" s="174" t="str">
        <f t="shared" si="5"/>
        <v/>
      </c>
      <c r="AM23" s="155">
        <f t="shared" si="6"/>
        <v>7</v>
      </c>
      <c r="AN23" s="175" t="str">
        <f t="shared" si="7"/>
        <v/>
      </c>
      <c r="AO23" s="156" t="str">
        <f t="shared" si="8"/>
        <v/>
      </c>
      <c r="AP23" s="176" t="str">
        <f t="shared" si="75"/>
        <v/>
      </c>
      <c r="AQ23" s="216" t="str">
        <f t="shared" si="76"/>
        <v/>
      </c>
      <c r="AR23" s="178" t="str">
        <f t="shared" si="9"/>
        <v/>
      </c>
      <c r="AS23" s="156" t="str">
        <f t="shared" si="10"/>
        <v/>
      </c>
      <c r="AT23" s="156" t="str">
        <f t="shared" si="77"/>
        <v/>
      </c>
      <c r="AU23" s="175" t="str">
        <f t="shared" si="11"/>
        <v/>
      </c>
      <c r="AV23" s="156" t="str">
        <f t="shared" si="12"/>
        <v/>
      </c>
      <c r="AW23" s="176" t="str">
        <f t="shared" si="78"/>
        <v/>
      </c>
      <c r="AX23" s="216" t="str">
        <f t="shared" si="79"/>
        <v/>
      </c>
      <c r="AY23" s="156" t="str">
        <f t="shared" si="13"/>
        <v/>
      </c>
      <c r="AZ23" s="156" t="str">
        <f t="shared" si="80"/>
        <v/>
      </c>
      <c r="BA23" s="156" t="str">
        <f t="shared" si="81"/>
        <v/>
      </c>
      <c r="BB23" s="175" t="str">
        <f t="shared" si="14"/>
        <v/>
      </c>
      <c r="BC23" s="156" t="str">
        <f t="shared" si="15"/>
        <v/>
      </c>
      <c r="BD23" s="216" t="str">
        <f t="shared" si="16"/>
        <v/>
      </c>
      <c r="BE23" s="216" t="str">
        <f t="shared" si="17"/>
        <v/>
      </c>
      <c r="BF23" s="156" t="str">
        <f t="shared" si="18"/>
        <v/>
      </c>
      <c r="BG23" s="156" t="e">
        <f t="shared" si="82"/>
        <v>#DIV/0!</v>
      </c>
      <c r="BH23" s="156" t="e">
        <f t="shared" si="83"/>
        <v>#VALUE!</v>
      </c>
      <c r="BI23" s="175" t="str">
        <f t="shared" si="19"/>
        <v/>
      </c>
      <c r="BJ23" s="156" t="str">
        <f t="shared" si="20"/>
        <v/>
      </c>
      <c r="BK23" s="176" t="str">
        <f t="shared" si="21"/>
        <v/>
      </c>
      <c r="BL23" s="156" t="str">
        <f t="shared" si="22"/>
        <v/>
      </c>
      <c r="BM23" s="175" t="str">
        <f t="shared" si="23"/>
        <v/>
      </c>
      <c r="BN23" s="156" t="str">
        <f t="shared" si="24"/>
        <v/>
      </c>
      <c r="BO23" s="176" t="str">
        <f t="shared" si="25"/>
        <v/>
      </c>
      <c r="BP23" s="156" t="str">
        <f t="shared" si="26"/>
        <v/>
      </c>
      <c r="BQ23" s="156"/>
      <c r="BR23" s="179"/>
      <c r="BS23" s="155"/>
      <c r="BT23" s="174" t="str">
        <f t="shared" si="27"/>
        <v/>
      </c>
      <c r="BU23" s="155">
        <f t="shared" si="28"/>
        <v>7</v>
      </c>
      <c r="BV23" s="175" t="str">
        <f t="shared" si="29"/>
        <v/>
      </c>
      <c r="BW23" s="156" t="str">
        <f t="shared" si="30"/>
        <v/>
      </c>
      <c r="BX23" s="176" t="str">
        <f t="shared" si="84"/>
        <v/>
      </c>
      <c r="BY23" s="216" t="str">
        <f t="shared" si="85"/>
        <v/>
      </c>
      <c r="BZ23" s="156" t="str">
        <f t="shared" si="31"/>
        <v/>
      </c>
      <c r="CA23" s="156" t="str">
        <f t="shared" si="86"/>
        <v/>
      </c>
      <c r="CB23" s="177" t="str">
        <f t="shared" si="32"/>
        <v/>
      </c>
      <c r="CC23" s="175" t="str">
        <f t="shared" si="33"/>
        <v/>
      </c>
      <c r="CD23" s="156" t="str">
        <f t="shared" si="34"/>
        <v/>
      </c>
      <c r="CE23" s="176" t="str">
        <f t="shared" si="87"/>
        <v/>
      </c>
      <c r="CF23" s="216" t="str">
        <f t="shared" si="88"/>
        <v/>
      </c>
      <c r="CG23" s="156" t="str">
        <f t="shared" si="35"/>
        <v/>
      </c>
      <c r="CH23" s="156" t="str">
        <f t="shared" si="89"/>
        <v/>
      </c>
      <c r="CI23" s="156" t="str">
        <f t="shared" si="90"/>
        <v/>
      </c>
      <c r="CJ23" s="175" t="str">
        <f t="shared" si="36"/>
        <v/>
      </c>
      <c r="CK23" s="156" t="str">
        <f t="shared" si="37"/>
        <v/>
      </c>
      <c r="CL23" s="176" t="str">
        <f t="shared" si="38"/>
        <v/>
      </c>
      <c r="CM23" s="216" t="str">
        <f t="shared" si="91"/>
        <v/>
      </c>
      <c r="CN23" s="156" t="str">
        <f t="shared" si="39"/>
        <v/>
      </c>
      <c r="CO23" s="156" t="str">
        <f t="shared" si="40"/>
        <v/>
      </c>
      <c r="CP23" s="156" t="str">
        <f t="shared" si="92"/>
        <v/>
      </c>
      <c r="CQ23" s="175" t="str">
        <f t="shared" si="41"/>
        <v/>
      </c>
      <c r="CR23" s="156" t="str">
        <f t="shared" si="42"/>
        <v/>
      </c>
      <c r="CS23" s="156" t="str">
        <f t="shared" si="43"/>
        <v/>
      </c>
      <c r="CT23" s="156" t="str">
        <f t="shared" si="44"/>
        <v/>
      </c>
      <c r="CU23" s="175" t="str">
        <f t="shared" si="45"/>
        <v/>
      </c>
      <c r="CV23" s="156" t="str">
        <f t="shared" si="46"/>
        <v/>
      </c>
      <c r="CW23" s="156" t="str">
        <f t="shared" si="47"/>
        <v/>
      </c>
      <c r="CX23" s="156" t="str">
        <f t="shared" si="48"/>
        <v/>
      </c>
      <c r="CY23" s="156"/>
      <c r="CZ23" s="179"/>
      <c r="DA23" s="155"/>
      <c r="DB23" s="174" t="str">
        <f t="shared" si="49"/>
        <v/>
      </c>
      <c r="DC23" s="155">
        <f t="shared" si="95"/>
        <v>7</v>
      </c>
      <c r="DD23" s="175" t="str">
        <f t="shared" si="50"/>
        <v/>
      </c>
      <c r="DE23" s="156" t="str">
        <f t="shared" si="51"/>
        <v/>
      </c>
      <c r="DF23" s="178" t="str">
        <f t="shared" si="52"/>
        <v/>
      </c>
      <c r="DG23" s="177" t="str">
        <f t="shared" si="53"/>
        <v/>
      </c>
      <c r="DH23" s="175" t="str">
        <f t="shared" si="54"/>
        <v/>
      </c>
      <c r="DI23" s="156" t="str">
        <f t="shared" si="55"/>
        <v/>
      </c>
      <c r="DJ23" s="176" t="str">
        <f t="shared" si="56"/>
        <v/>
      </c>
      <c r="DK23" s="156" t="str">
        <f t="shared" si="57"/>
        <v/>
      </c>
      <c r="DL23" s="175" t="str">
        <f t="shared" si="58"/>
        <v/>
      </c>
      <c r="DM23" s="156" t="str">
        <f t="shared" si="59"/>
        <v/>
      </c>
      <c r="DN23" s="176" t="str">
        <f t="shared" si="60"/>
        <v/>
      </c>
      <c r="DO23" s="156" t="str">
        <f t="shared" si="61"/>
        <v/>
      </c>
      <c r="DP23" s="175" t="str">
        <f t="shared" si="62"/>
        <v/>
      </c>
      <c r="DQ23" s="156" t="str">
        <f t="shared" si="63"/>
        <v/>
      </c>
      <c r="DR23" s="156" t="str">
        <f t="shared" si="64"/>
        <v/>
      </c>
      <c r="DS23" s="156" t="str">
        <f t="shared" si="65"/>
        <v/>
      </c>
      <c r="DT23" s="175" t="str">
        <f t="shared" si="66"/>
        <v/>
      </c>
      <c r="DU23" s="156" t="str">
        <f t="shared" si="67"/>
        <v/>
      </c>
      <c r="DV23" s="156" t="str">
        <f t="shared" si="68"/>
        <v/>
      </c>
      <c r="DW23" s="156" t="str">
        <f t="shared" si="69"/>
        <v/>
      </c>
      <c r="DX23" s="97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</row>
    <row r="24" spans="1:176" ht="12.75" customHeight="1" x14ac:dyDescent="0.15">
      <c r="B24" s="229">
        <f t="shared" si="93"/>
        <v>8</v>
      </c>
      <c r="C24" s="59"/>
      <c r="D24" s="60"/>
      <c r="E24" s="61"/>
      <c r="F24" s="312"/>
      <c r="G24" s="313"/>
      <c r="H24" s="62"/>
      <c r="I24" s="62"/>
      <c r="J24" s="62"/>
      <c r="K24" s="62"/>
      <c r="L24" s="271"/>
      <c r="M24" s="93"/>
      <c r="N24" s="94"/>
      <c r="O24" s="93"/>
      <c r="P24" s="95"/>
      <c r="Q24" s="233"/>
      <c r="R24" s="233"/>
      <c r="S24" s="280" t="str">
        <f t="shared" si="70"/>
        <v/>
      </c>
      <c r="T24" s="278" t="str">
        <f t="shared" si="71"/>
        <v/>
      </c>
      <c r="U24" s="235" t="str">
        <f t="shared" si="72"/>
        <v/>
      </c>
      <c r="V24" s="63" t="str">
        <f t="shared" si="73"/>
        <v/>
      </c>
      <c r="W24" s="64" t="str">
        <f t="shared" si="0"/>
        <v/>
      </c>
      <c r="X24" s="65" t="str">
        <f t="shared" si="1"/>
        <v/>
      </c>
      <c r="Y24" s="284"/>
      <c r="Z24" s="285" t="e">
        <f t="shared" si="74"/>
        <v>#VALUE!</v>
      </c>
      <c r="AA24" s="53"/>
      <c r="AB24" s="41"/>
      <c r="AC24" s="41"/>
      <c r="AD24" s="41"/>
      <c r="AE24" s="41"/>
      <c r="AF24" s="96" t="str">
        <f t="shared" si="2"/>
        <v/>
      </c>
      <c r="AG24" s="96" t="str">
        <f t="shared" si="3"/>
        <v/>
      </c>
      <c r="AH24" s="96" t="str">
        <f t="shared" si="4"/>
        <v/>
      </c>
      <c r="AI24" s="96" t="str">
        <f>+IF(H24=1,X24,"")</f>
        <v/>
      </c>
      <c r="AJ24" s="168"/>
      <c r="AK24" s="192">
        <f t="shared" si="94"/>
        <v>8</v>
      </c>
      <c r="AL24" s="174" t="str">
        <f t="shared" si="5"/>
        <v/>
      </c>
      <c r="AM24" s="155">
        <f t="shared" si="6"/>
        <v>8</v>
      </c>
      <c r="AN24" s="175" t="str">
        <f t="shared" si="7"/>
        <v/>
      </c>
      <c r="AO24" s="156" t="str">
        <f t="shared" si="8"/>
        <v/>
      </c>
      <c r="AP24" s="176" t="str">
        <f t="shared" si="75"/>
        <v/>
      </c>
      <c r="AQ24" s="216" t="str">
        <f t="shared" si="76"/>
        <v/>
      </c>
      <c r="AR24" s="178" t="str">
        <f t="shared" si="9"/>
        <v/>
      </c>
      <c r="AS24" s="156" t="str">
        <f t="shared" si="10"/>
        <v/>
      </c>
      <c r="AT24" s="156" t="str">
        <f t="shared" si="77"/>
        <v/>
      </c>
      <c r="AU24" s="175" t="str">
        <f t="shared" si="11"/>
        <v/>
      </c>
      <c r="AV24" s="156" t="str">
        <f t="shared" si="12"/>
        <v/>
      </c>
      <c r="AW24" s="176" t="str">
        <f t="shared" si="78"/>
        <v/>
      </c>
      <c r="AX24" s="216" t="str">
        <f t="shared" si="79"/>
        <v/>
      </c>
      <c r="AY24" s="156" t="str">
        <f t="shared" si="13"/>
        <v/>
      </c>
      <c r="AZ24" s="156" t="str">
        <f t="shared" si="80"/>
        <v/>
      </c>
      <c r="BA24" s="156" t="str">
        <f t="shared" si="81"/>
        <v/>
      </c>
      <c r="BB24" s="175" t="str">
        <f t="shared" si="14"/>
        <v/>
      </c>
      <c r="BC24" s="156" t="str">
        <f t="shared" si="15"/>
        <v/>
      </c>
      <c r="BD24" s="216" t="str">
        <f t="shared" si="16"/>
        <v/>
      </c>
      <c r="BE24" s="216" t="str">
        <f t="shared" si="17"/>
        <v/>
      </c>
      <c r="BF24" s="156" t="str">
        <f t="shared" si="18"/>
        <v/>
      </c>
      <c r="BG24" s="156" t="e">
        <f t="shared" si="82"/>
        <v>#DIV/0!</v>
      </c>
      <c r="BH24" s="156" t="e">
        <f t="shared" si="83"/>
        <v>#VALUE!</v>
      </c>
      <c r="BI24" s="175" t="str">
        <f t="shared" si="19"/>
        <v/>
      </c>
      <c r="BJ24" s="156" t="str">
        <f t="shared" si="20"/>
        <v/>
      </c>
      <c r="BK24" s="176" t="str">
        <f t="shared" si="21"/>
        <v/>
      </c>
      <c r="BL24" s="156" t="str">
        <f t="shared" si="22"/>
        <v/>
      </c>
      <c r="BM24" s="175" t="str">
        <f t="shared" si="23"/>
        <v/>
      </c>
      <c r="BN24" s="156" t="str">
        <f t="shared" si="24"/>
        <v/>
      </c>
      <c r="BO24" s="176" t="str">
        <f t="shared" si="25"/>
        <v/>
      </c>
      <c r="BP24" s="156" t="str">
        <f t="shared" si="26"/>
        <v/>
      </c>
      <c r="BQ24" s="156"/>
      <c r="BR24" s="179"/>
      <c r="BS24" s="161"/>
      <c r="BT24" s="174" t="str">
        <f t="shared" si="27"/>
        <v/>
      </c>
      <c r="BU24" s="155">
        <f t="shared" si="28"/>
        <v>8</v>
      </c>
      <c r="BV24" s="175" t="str">
        <f t="shared" si="29"/>
        <v/>
      </c>
      <c r="BW24" s="156" t="str">
        <f t="shared" si="30"/>
        <v/>
      </c>
      <c r="BX24" s="176" t="str">
        <f t="shared" si="84"/>
        <v/>
      </c>
      <c r="BY24" s="216" t="str">
        <f t="shared" si="85"/>
        <v/>
      </c>
      <c r="BZ24" s="156" t="str">
        <f t="shared" si="31"/>
        <v/>
      </c>
      <c r="CA24" s="156" t="str">
        <f t="shared" si="86"/>
        <v/>
      </c>
      <c r="CB24" s="177" t="str">
        <f t="shared" si="32"/>
        <v/>
      </c>
      <c r="CC24" s="175" t="str">
        <f t="shared" si="33"/>
        <v/>
      </c>
      <c r="CD24" s="156" t="str">
        <f t="shared" si="34"/>
        <v/>
      </c>
      <c r="CE24" s="176" t="str">
        <f t="shared" si="87"/>
        <v/>
      </c>
      <c r="CF24" s="216" t="str">
        <f t="shared" si="88"/>
        <v/>
      </c>
      <c r="CG24" s="156" t="str">
        <f t="shared" si="35"/>
        <v/>
      </c>
      <c r="CH24" s="156" t="str">
        <f t="shared" si="89"/>
        <v/>
      </c>
      <c r="CI24" s="156" t="str">
        <f t="shared" si="90"/>
        <v/>
      </c>
      <c r="CJ24" s="175" t="str">
        <f t="shared" si="36"/>
        <v/>
      </c>
      <c r="CK24" s="156" t="str">
        <f t="shared" si="37"/>
        <v/>
      </c>
      <c r="CL24" s="176" t="str">
        <f t="shared" si="38"/>
        <v/>
      </c>
      <c r="CM24" s="216" t="str">
        <f t="shared" si="91"/>
        <v/>
      </c>
      <c r="CN24" s="156" t="str">
        <f t="shared" si="39"/>
        <v/>
      </c>
      <c r="CO24" s="156" t="str">
        <f t="shared" si="40"/>
        <v/>
      </c>
      <c r="CP24" s="156" t="str">
        <f t="shared" si="92"/>
        <v/>
      </c>
      <c r="CQ24" s="175" t="str">
        <f t="shared" si="41"/>
        <v/>
      </c>
      <c r="CR24" s="156" t="str">
        <f t="shared" si="42"/>
        <v/>
      </c>
      <c r="CS24" s="156" t="str">
        <f t="shared" si="43"/>
        <v/>
      </c>
      <c r="CT24" s="156" t="str">
        <f t="shared" si="44"/>
        <v/>
      </c>
      <c r="CU24" s="175" t="str">
        <f t="shared" si="45"/>
        <v/>
      </c>
      <c r="CV24" s="156" t="str">
        <f t="shared" si="46"/>
        <v/>
      </c>
      <c r="CW24" s="156" t="str">
        <f t="shared" si="47"/>
        <v/>
      </c>
      <c r="CX24" s="156" t="str">
        <f t="shared" si="48"/>
        <v/>
      </c>
      <c r="CY24" s="156"/>
      <c r="CZ24" s="179"/>
      <c r="DA24" s="155"/>
      <c r="DB24" s="174" t="str">
        <f t="shared" si="49"/>
        <v/>
      </c>
      <c r="DC24" s="155">
        <f t="shared" si="95"/>
        <v>8</v>
      </c>
      <c r="DD24" s="175" t="str">
        <f t="shared" si="50"/>
        <v/>
      </c>
      <c r="DE24" s="156" t="str">
        <f t="shared" si="51"/>
        <v/>
      </c>
      <c r="DF24" s="178" t="str">
        <f t="shared" si="52"/>
        <v/>
      </c>
      <c r="DG24" s="177" t="str">
        <f t="shared" si="53"/>
        <v/>
      </c>
      <c r="DH24" s="175" t="str">
        <f t="shared" si="54"/>
        <v/>
      </c>
      <c r="DI24" s="156" t="str">
        <f t="shared" si="55"/>
        <v/>
      </c>
      <c r="DJ24" s="176" t="str">
        <f t="shared" si="56"/>
        <v/>
      </c>
      <c r="DK24" s="156" t="str">
        <f t="shared" si="57"/>
        <v/>
      </c>
      <c r="DL24" s="175" t="str">
        <f t="shared" si="58"/>
        <v/>
      </c>
      <c r="DM24" s="156" t="str">
        <f t="shared" si="59"/>
        <v/>
      </c>
      <c r="DN24" s="176" t="str">
        <f t="shared" si="60"/>
        <v/>
      </c>
      <c r="DO24" s="156" t="str">
        <f t="shared" si="61"/>
        <v/>
      </c>
      <c r="DP24" s="175" t="str">
        <f t="shared" si="62"/>
        <v/>
      </c>
      <c r="DQ24" s="156" t="str">
        <f t="shared" si="63"/>
        <v/>
      </c>
      <c r="DR24" s="156" t="str">
        <f t="shared" si="64"/>
        <v/>
      </c>
      <c r="DS24" s="156" t="str">
        <f t="shared" si="65"/>
        <v/>
      </c>
      <c r="DT24" s="175" t="str">
        <f t="shared" si="66"/>
        <v/>
      </c>
      <c r="DU24" s="156" t="str">
        <f t="shared" si="67"/>
        <v/>
      </c>
      <c r="DV24" s="156" t="str">
        <f t="shared" si="68"/>
        <v/>
      </c>
      <c r="DW24" s="156" t="str">
        <f t="shared" si="69"/>
        <v/>
      </c>
      <c r="DX24" s="97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</row>
    <row r="25" spans="1:176" s="87" customFormat="1" ht="12.75" customHeight="1" thickBot="1" x14ac:dyDescent="0.2">
      <c r="A25" s="53"/>
      <c r="B25" s="229">
        <f t="shared" si="93"/>
        <v>9</v>
      </c>
      <c r="C25" s="66"/>
      <c r="D25" s="60"/>
      <c r="E25" s="61"/>
      <c r="F25" s="312"/>
      <c r="G25" s="313"/>
      <c r="H25" s="62"/>
      <c r="I25" s="62"/>
      <c r="J25" s="62"/>
      <c r="K25" s="62"/>
      <c r="L25" s="271"/>
      <c r="M25" s="93"/>
      <c r="N25" s="94"/>
      <c r="O25" s="93"/>
      <c r="P25" s="95"/>
      <c r="Q25" s="233"/>
      <c r="R25" s="233"/>
      <c r="S25" s="280" t="str">
        <f t="shared" si="70"/>
        <v/>
      </c>
      <c r="T25" s="278" t="str">
        <f t="shared" si="71"/>
        <v/>
      </c>
      <c r="U25" s="235" t="str">
        <f t="shared" si="72"/>
        <v/>
      </c>
      <c r="V25" s="63" t="str">
        <f t="shared" si="73"/>
        <v/>
      </c>
      <c r="W25" s="64" t="str">
        <f t="shared" si="0"/>
        <v/>
      </c>
      <c r="X25" s="65" t="str">
        <f t="shared" si="1"/>
        <v/>
      </c>
      <c r="Y25" s="284"/>
      <c r="Z25" s="285" t="e">
        <f t="shared" si="74"/>
        <v>#VALUE!</v>
      </c>
      <c r="AA25" s="53"/>
      <c r="AB25" s="41"/>
      <c r="AC25" s="41"/>
      <c r="AD25" s="41"/>
      <c r="AE25" s="41"/>
      <c r="AF25" s="96" t="str">
        <f t="shared" si="2"/>
        <v/>
      </c>
      <c r="AG25" s="96" t="str">
        <f t="shared" si="3"/>
        <v/>
      </c>
      <c r="AH25" s="96" t="str">
        <f t="shared" si="4"/>
        <v/>
      </c>
      <c r="AI25" s="96" t="str">
        <f>+IF(H25=1,X25,"")</f>
        <v/>
      </c>
      <c r="AJ25" s="168"/>
      <c r="AK25" s="192">
        <f t="shared" si="94"/>
        <v>9</v>
      </c>
      <c r="AL25" s="174" t="str">
        <f t="shared" si="5"/>
        <v/>
      </c>
      <c r="AM25" s="155">
        <f t="shared" si="6"/>
        <v>9</v>
      </c>
      <c r="AN25" s="175" t="str">
        <f t="shared" si="7"/>
        <v/>
      </c>
      <c r="AO25" s="156" t="str">
        <f t="shared" si="8"/>
        <v/>
      </c>
      <c r="AP25" s="176" t="str">
        <f t="shared" si="75"/>
        <v/>
      </c>
      <c r="AQ25" s="216" t="str">
        <f t="shared" si="76"/>
        <v/>
      </c>
      <c r="AR25" s="178" t="str">
        <f t="shared" si="9"/>
        <v/>
      </c>
      <c r="AS25" s="156" t="str">
        <f t="shared" si="10"/>
        <v/>
      </c>
      <c r="AT25" s="156" t="str">
        <f t="shared" si="77"/>
        <v/>
      </c>
      <c r="AU25" s="175" t="str">
        <f t="shared" si="11"/>
        <v/>
      </c>
      <c r="AV25" s="156" t="str">
        <f t="shared" si="12"/>
        <v/>
      </c>
      <c r="AW25" s="176" t="str">
        <f t="shared" si="78"/>
        <v/>
      </c>
      <c r="AX25" s="216" t="str">
        <f t="shared" si="79"/>
        <v/>
      </c>
      <c r="AY25" s="156" t="str">
        <f t="shared" si="13"/>
        <v/>
      </c>
      <c r="AZ25" s="156" t="str">
        <f t="shared" si="80"/>
        <v/>
      </c>
      <c r="BA25" s="156" t="str">
        <f t="shared" si="81"/>
        <v/>
      </c>
      <c r="BB25" s="175" t="str">
        <f t="shared" si="14"/>
        <v/>
      </c>
      <c r="BC25" s="156" t="str">
        <f t="shared" si="15"/>
        <v/>
      </c>
      <c r="BD25" s="216" t="str">
        <f t="shared" si="16"/>
        <v/>
      </c>
      <c r="BE25" s="216" t="str">
        <f t="shared" si="17"/>
        <v/>
      </c>
      <c r="BF25" s="156" t="str">
        <f t="shared" si="18"/>
        <v/>
      </c>
      <c r="BG25" s="156" t="e">
        <f t="shared" si="82"/>
        <v>#DIV/0!</v>
      </c>
      <c r="BH25" s="156" t="e">
        <f t="shared" si="83"/>
        <v>#VALUE!</v>
      </c>
      <c r="BI25" s="175" t="str">
        <f t="shared" si="19"/>
        <v/>
      </c>
      <c r="BJ25" s="156" t="str">
        <f t="shared" si="20"/>
        <v/>
      </c>
      <c r="BK25" s="176" t="str">
        <f t="shared" si="21"/>
        <v/>
      </c>
      <c r="BL25" s="156" t="str">
        <f t="shared" si="22"/>
        <v/>
      </c>
      <c r="BM25" s="175" t="str">
        <f t="shared" si="23"/>
        <v/>
      </c>
      <c r="BN25" s="156" t="str">
        <f t="shared" si="24"/>
        <v/>
      </c>
      <c r="BO25" s="176" t="str">
        <f t="shared" si="25"/>
        <v/>
      </c>
      <c r="BP25" s="156" t="str">
        <f t="shared" si="26"/>
        <v/>
      </c>
      <c r="BQ25" s="156"/>
      <c r="BR25" s="179"/>
      <c r="BS25" s="155"/>
      <c r="BT25" s="174" t="str">
        <f t="shared" si="27"/>
        <v/>
      </c>
      <c r="BU25" s="155">
        <f t="shared" si="28"/>
        <v>9</v>
      </c>
      <c r="BV25" s="175" t="str">
        <f t="shared" si="29"/>
        <v/>
      </c>
      <c r="BW25" s="156" t="str">
        <f t="shared" si="30"/>
        <v/>
      </c>
      <c r="BX25" s="176" t="str">
        <f t="shared" si="84"/>
        <v/>
      </c>
      <c r="BY25" s="216" t="str">
        <f t="shared" si="85"/>
        <v/>
      </c>
      <c r="BZ25" s="156" t="str">
        <f t="shared" si="31"/>
        <v/>
      </c>
      <c r="CA25" s="156" t="str">
        <f t="shared" si="86"/>
        <v/>
      </c>
      <c r="CB25" s="177" t="str">
        <f t="shared" si="32"/>
        <v/>
      </c>
      <c r="CC25" s="175" t="str">
        <f t="shared" si="33"/>
        <v/>
      </c>
      <c r="CD25" s="156" t="str">
        <f t="shared" si="34"/>
        <v/>
      </c>
      <c r="CE25" s="176" t="str">
        <f t="shared" si="87"/>
        <v/>
      </c>
      <c r="CF25" s="216" t="str">
        <f t="shared" si="88"/>
        <v/>
      </c>
      <c r="CG25" s="156" t="str">
        <f t="shared" si="35"/>
        <v/>
      </c>
      <c r="CH25" s="156" t="str">
        <f t="shared" si="89"/>
        <v/>
      </c>
      <c r="CI25" s="156" t="str">
        <f t="shared" si="90"/>
        <v/>
      </c>
      <c r="CJ25" s="175" t="str">
        <f t="shared" si="36"/>
        <v/>
      </c>
      <c r="CK25" s="156" t="str">
        <f t="shared" si="37"/>
        <v/>
      </c>
      <c r="CL25" s="176" t="str">
        <f t="shared" si="38"/>
        <v/>
      </c>
      <c r="CM25" s="216" t="str">
        <f t="shared" si="91"/>
        <v/>
      </c>
      <c r="CN25" s="156" t="str">
        <f t="shared" si="39"/>
        <v/>
      </c>
      <c r="CO25" s="156" t="str">
        <f t="shared" si="40"/>
        <v/>
      </c>
      <c r="CP25" s="156" t="str">
        <f t="shared" si="92"/>
        <v/>
      </c>
      <c r="CQ25" s="175" t="str">
        <f t="shared" si="41"/>
        <v/>
      </c>
      <c r="CR25" s="156" t="str">
        <f t="shared" si="42"/>
        <v/>
      </c>
      <c r="CS25" s="156" t="str">
        <f t="shared" si="43"/>
        <v/>
      </c>
      <c r="CT25" s="156" t="str">
        <f t="shared" si="44"/>
        <v/>
      </c>
      <c r="CU25" s="175" t="str">
        <f t="shared" si="45"/>
        <v/>
      </c>
      <c r="CV25" s="156" t="str">
        <f t="shared" si="46"/>
        <v/>
      </c>
      <c r="CW25" s="156" t="str">
        <f t="shared" si="47"/>
        <v/>
      </c>
      <c r="CX25" s="156" t="str">
        <f t="shared" si="48"/>
        <v/>
      </c>
      <c r="CY25" s="156"/>
      <c r="CZ25" s="179"/>
      <c r="DA25" s="155"/>
      <c r="DB25" s="174" t="str">
        <f t="shared" si="49"/>
        <v/>
      </c>
      <c r="DC25" s="155">
        <f t="shared" si="95"/>
        <v>9</v>
      </c>
      <c r="DD25" s="175" t="str">
        <f t="shared" si="50"/>
        <v/>
      </c>
      <c r="DE25" s="156" t="str">
        <f t="shared" si="51"/>
        <v/>
      </c>
      <c r="DF25" s="178" t="str">
        <f t="shared" si="52"/>
        <v/>
      </c>
      <c r="DG25" s="177" t="str">
        <f t="shared" si="53"/>
        <v/>
      </c>
      <c r="DH25" s="175" t="str">
        <f t="shared" si="54"/>
        <v/>
      </c>
      <c r="DI25" s="156" t="str">
        <f t="shared" si="55"/>
        <v/>
      </c>
      <c r="DJ25" s="176" t="str">
        <f t="shared" si="56"/>
        <v/>
      </c>
      <c r="DK25" s="156" t="str">
        <f t="shared" si="57"/>
        <v/>
      </c>
      <c r="DL25" s="175" t="str">
        <f t="shared" si="58"/>
        <v/>
      </c>
      <c r="DM25" s="156" t="str">
        <f t="shared" si="59"/>
        <v/>
      </c>
      <c r="DN25" s="176" t="str">
        <f t="shared" si="60"/>
        <v/>
      </c>
      <c r="DO25" s="156" t="str">
        <f t="shared" si="61"/>
        <v/>
      </c>
      <c r="DP25" s="175" t="str">
        <f t="shared" si="62"/>
        <v/>
      </c>
      <c r="DQ25" s="156" t="str">
        <f t="shared" si="63"/>
        <v/>
      </c>
      <c r="DR25" s="156" t="str">
        <f t="shared" si="64"/>
        <v/>
      </c>
      <c r="DS25" s="156" t="str">
        <f t="shared" si="65"/>
        <v/>
      </c>
      <c r="DT25" s="175" t="str">
        <f t="shared" si="66"/>
        <v/>
      </c>
      <c r="DU25" s="156" t="str">
        <f t="shared" si="67"/>
        <v/>
      </c>
      <c r="DV25" s="156" t="str">
        <f t="shared" si="68"/>
        <v/>
      </c>
      <c r="DW25" s="156" t="str">
        <f t="shared" si="69"/>
        <v/>
      </c>
      <c r="DX25" s="81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</row>
    <row r="26" spans="1:176" ht="12.75" customHeight="1" thickTop="1" x14ac:dyDescent="0.15">
      <c r="B26" s="229">
        <f t="shared" si="93"/>
        <v>10</v>
      </c>
      <c r="C26" s="59"/>
      <c r="D26" s="60"/>
      <c r="E26" s="61"/>
      <c r="F26" s="312"/>
      <c r="G26" s="313"/>
      <c r="H26" s="62"/>
      <c r="I26" s="62"/>
      <c r="J26" s="62"/>
      <c r="K26" s="62"/>
      <c r="L26" s="271"/>
      <c r="M26" s="93"/>
      <c r="N26" s="94"/>
      <c r="O26" s="93"/>
      <c r="P26" s="95"/>
      <c r="Q26" s="233"/>
      <c r="R26" s="233"/>
      <c r="S26" s="280" t="str">
        <f t="shared" si="70"/>
        <v/>
      </c>
      <c r="T26" s="278" t="str">
        <f t="shared" si="71"/>
        <v/>
      </c>
      <c r="U26" s="235" t="str">
        <f t="shared" si="72"/>
        <v/>
      </c>
      <c r="V26" s="63" t="str">
        <f t="shared" si="73"/>
        <v/>
      </c>
      <c r="W26" s="64" t="str">
        <f t="shared" si="0"/>
        <v/>
      </c>
      <c r="X26" s="65" t="str">
        <f t="shared" si="1"/>
        <v/>
      </c>
      <c r="Y26" s="284"/>
      <c r="Z26" s="285" t="e">
        <f t="shared" si="74"/>
        <v>#VALUE!</v>
      </c>
      <c r="AA26" s="53"/>
      <c r="AB26" s="41"/>
      <c r="AC26" s="41"/>
      <c r="AD26" s="41"/>
      <c r="AE26" s="41"/>
      <c r="AF26" s="96" t="str">
        <f t="shared" si="2"/>
        <v/>
      </c>
      <c r="AG26" s="96" t="str">
        <f t="shared" si="3"/>
        <v/>
      </c>
      <c r="AH26" s="96" t="str">
        <f t="shared" si="4"/>
        <v/>
      </c>
      <c r="AI26" s="96" t="str">
        <f>+IF(H26=1,X26,"")</f>
        <v/>
      </c>
      <c r="AJ26" s="168"/>
      <c r="AK26" s="192">
        <f t="shared" si="94"/>
        <v>10</v>
      </c>
      <c r="AL26" s="174" t="str">
        <f t="shared" si="5"/>
        <v/>
      </c>
      <c r="AM26" s="155">
        <f t="shared" si="6"/>
        <v>10</v>
      </c>
      <c r="AN26" s="175" t="str">
        <f t="shared" si="7"/>
        <v/>
      </c>
      <c r="AO26" s="156" t="str">
        <f t="shared" si="8"/>
        <v/>
      </c>
      <c r="AP26" s="176" t="str">
        <f t="shared" si="75"/>
        <v/>
      </c>
      <c r="AQ26" s="216" t="str">
        <f t="shared" si="76"/>
        <v/>
      </c>
      <c r="AR26" s="178" t="str">
        <f t="shared" si="9"/>
        <v/>
      </c>
      <c r="AS26" s="156" t="str">
        <f t="shared" si="10"/>
        <v/>
      </c>
      <c r="AT26" s="156" t="str">
        <f t="shared" si="77"/>
        <v/>
      </c>
      <c r="AU26" s="175" t="str">
        <f t="shared" si="11"/>
        <v/>
      </c>
      <c r="AV26" s="156" t="str">
        <f t="shared" si="12"/>
        <v/>
      </c>
      <c r="AW26" s="176" t="str">
        <f t="shared" si="78"/>
        <v/>
      </c>
      <c r="AX26" s="216" t="str">
        <f t="shared" si="79"/>
        <v/>
      </c>
      <c r="AY26" s="156" t="str">
        <f t="shared" si="13"/>
        <v/>
      </c>
      <c r="AZ26" s="156" t="str">
        <f t="shared" si="80"/>
        <v/>
      </c>
      <c r="BA26" s="156" t="str">
        <f t="shared" si="81"/>
        <v/>
      </c>
      <c r="BB26" s="175" t="str">
        <f t="shared" si="14"/>
        <v/>
      </c>
      <c r="BC26" s="156" t="str">
        <f t="shared" si="15"/>
        <v/>
      </c>
      <c r="BD26" s="216" t="str">
        <f t="shared" si="16"/>
        <v/>
      </c>
      <c r="BE26" s="216" t="str">
        <f t="shared" si="17"/>
        <v/>
      </c>
      <c r="BF26" s="156" t="str">
        <f t="shared" si="18"/>
        <v/>
      </c>
      <c r="BG26" s="156" t="e">
        <f t="shared" si="82"/>
        <v>#DIV/0!</v>
      </c>
      <c r="BH26" s="156" t="e">
        <f t="shared" si="83"/>
        <v>#VALUE!</v>
      </c>
      <c r="BI26" s="175" t="str">
        <f t="shared" si="19"/>
        <v/>
      </c>
      <c r="BJ26" s="156" t="str">
        <f t="shared" si="20"/>
        <v/>
      </c>
      <c r="BK26" s="176" t="str">
        <f t="shared" si="21"/>
        <v/>
      </c>
      <c r="BL26" s="156" t="str">
        <f t="shared" si="22"/>
        <v/>
      </c>
      <c r="BM26" s="175" t="str">
        <f t="shared" si="23"/>
        <v/>
      </c>
      <c r="BN26" s="156" t="str">
        <f t="shared" si="24"/>
        <v/>
      </c>
      <c r="BO26" s="176" t="str">
        <f t="shared" si="25"/>
        <v/>
      </c>
      <c r="BP26" s="156" t="str">
        <f t="shared" si="26"/>
        <v/>
      </c>
      <c r="BQ26" s="156"/>
      <c r="BR26" s="179"/>
      <c r="BS26" s="155"/>
      <c r="BT26" s="174" t="str">
        <f t="shared" si="27"/>
        <v/>
      </c>
      <c r="BU26" s="155">
        <f t="shared" si="28"/>
        <v>10</v>
      </c>
      <c r="BV26" s="175" t="str">
        <f t="shared" si="29"/>
        <v/>
      </c>
      <c r="BW26" s="156" t="str">
        <f t="shared" si="30"/>
        <v/>
      </c>
      <c r="BX26" s="176" t="str">
        <f t="shared" si="84"/>
        <v/>
      </c>
      <c r="BY26" s="216" t="str">
        <f t="shared" si="85"/>
        <v/>
      </c>
      <c r="BZ26" s="156" t="str">
        <f t="shared" si="31"/>
        <v/>
      </c>
      <c r="CA26" s="156" t="str">
        <f t="shared" si="86"/>
        <v/>
      </c>
      <c r="CB26" s="177" t="str">
        <f t="shared" si="32"/>
        <v/>
      </c>
      <c r="CC26" s="175" t="str">
        <f t="shared" si="33"/>
        <v/>
      </c>
      <c r="CD26" s="156" t="str">
        <f t="shared" si="34"/>
        <v/>
      </c>
      <c r="CE26" s="176" t="str">
        <f t="shared" si="87"/>
        <v/>
      </c>
      <c r="CF26" s="216" t="str">
        <f t="shared" si="88"/>
        <v/>
      </c>
      <c r="CG26" s="156" t="str">
        <f t="shared" si="35"/>
        <v/>
      </c>
      <c r="CH26" s="156" t="str">
        <f t="shared" si="89"/>
        <v/>
      </c>
      <c r="CI26" s="156" t="str">
        <f t="shared" si="90"/>
        <v/>
      </c>
      <c r="CJ26" s="175" t="str">
        <f t="shared" si="36"/>
        <v/>
      </c>
      <c r="CK26" s="156" t="str">
        <f t="shared" si="37"/>
        <v/>
      </c>
      <c r="CL26" s="176" t="str">
        <f t="shared" si="38"/>
        <v/>
      </c>
      <c r="CM26" s="216" t="str">
        <f t="shared" si="91"/>
        <v/>
      </c>
      <c r="CN26" s="156" t="str">
        <f t="shared" si="39"/>
        <v/>
      </c>
      <c r="CO26" s="156" t="str">
        <f t="shared" si="40"/>
        <v/>
      </c>
      <c r="CP26" s="156" t="str">
        <f t="shared" si="92"/>
        <v/>
      </c>
      <c r="CQ26" s="175" t="str">
        <f t="shared" si="41"/>
        <v/>
      </c>
      <c r="CR26" s="156" t="str">
        <f t="shared" si="42"/>
        <v/>
      </c>
      <c r="CS26" s="156" t="str">
        <f t="shared" si="43"/>
        <v/>
      </c>
      <c r="CT26" s="156" t="str">
        <f t="shared" si="44"/>
        <v/>
      </c>
      <c r="CU26" s="175" t="str">
        <f t="shared" si="45"/>
        <v/>
      </c>
      <c r="CV26" s="156" t="str">
        <f t="shared" si="46"/>
        <v/>
      </c>
      <c r="CW26" s="156" t="str">
        <f t="shared" si="47"/>
        <v/>
      </c>
      <c r="CX26" s="156" t="str">
        <f t="shared" si="48"/>
        <v/>
      </c>
      <c r="CY26" s="156"/>
      <c r="CZ26" s="179"/>
      <c r="DA26" s="155"/>
      <c r="DB26" s="174" t="str">
        <f t="shared" si="49"/>
        <v/>
      </c>
      <c r="DC26" s="155">
        <f t="shared" si="95"/>
        <v>10</v>
      </c>
      <c r="DD26" s="175" t="str">
        <f t="shared" si="50"/>
        <v/>
      </c>
      <c r="DE26" s="156" t="str">
        <f t="shared" si="51"/>
        <v/>
      </c>
      <c r="DF26" s="178" t="str">
        <f t="shared" si="52"/>
        <v/>
      </c>
      <c r="DG26" s="177" t="str">
        <f t="shared" si="53"/>
        <v/>
      </c>
      <c r="DH26" s="175" t="str">
        <f t="shared" si="54"/>
        <v/>
      </c>
      <c r="DI26" s="156" t="str">
        <f t="shared" si="55"/>
        <v/>
      </c>
      <c r="DJ26" s="176" t="str">
        <f t="shared" si="56"/>
        <v/>
      </c>
      <c r="DK26" s="156" t="str">
        <f t="shared" si="57"/>
        <v/>
      </c>
      <c r="DL26" s="175" t="str">
        <f t="shared" si="58"/>
        <v/>
      </c>
      <c r="DM26" s="156" t="str">
        <f t="shared" si="59"/>
        <v/>
      </c>
      <c r="DN26" s="176" t="str">
        <f t="shared" si="60"/>
        <v/>
      </c>
      <c r="DO26" s="156" t="str">
        <f t="shared" si="61"/>
        <v/>
      </c>
      <c r="DP26" s="175" t="str">
        <f t="shared" si="62"/>
        <v/>
      </c>
      <c r="DQ26" s="156" t="str">
        <f t="shared" si="63"/>
        <v/>
      </c>
      <c r="DR26" s="156" t="str">
        <f t="shared" si="64"/>
        <v/>
      </c>
      <c r="DS26" s="156" t="str">
        <f t="shared" si="65"/>
        <v/>
      </c>
      <c r="DT26" s="175" t="str">
        <f t="shared" si="66"/>
        <v/>
      </c>
      <c r="DU26" s="156" t="str">
        <f t="shared" si="67"/>
        <v/>
      </c>
      <c r="DV26" s="156" t="str">
        <f t="shared" si="68"/>
        <v/>
      </c>
      <c r="DW26" s="156" t="str">
        <f t="shared" si="69"/>
        <v/>
      </c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</row>
    <row r="27" spans="1:176" ht="12.75" customHeight="1" x14ac:dyDescent="0.15">
      <c r="B27" s="229">
        <f t="shared" si="93"/>
        <v>11</v>
      </c>
      <c r="C27" s="59"/>
      <c r="D27" s="60"/>
      <c r="E27" s="61"/>
      <c r="F27" s="312"/>
      <c r="G27" s="313"/>
      <c r="H27" s="62"/>
      <c r="I27" s="62"/>
      <c r="J27" s="62"/>
      <c r="K27" s="62"/>
      <c r="L27" s="271"/>
      <c r="M27" s="93"/>
      <c r="N27" s="94"/>
      <c r="O27" s="93"/>
      <c r="P27" s="95"/>
      <c r="Q27" s="233"/>
      <c r="R27" s="233"/>
      <c r="S27" s="280" t="str">
        <f t="shared" si="70"/>
        <v/>
      </c>
      <c r="T27" s="278" t="str">
        <f t="shared" si="71"/>
        <v/>
      </c>
      <c r="U27" s="235" t="str">
        <f t="shared" si="72"/>
        <v/>
      </c>
      <c r="V27" s="63" t="str">
        <f t="shared" si="73"/>
        <v/>
      </c>
      <c r="W27" s="64" t="str">
        <f t="shared" si="0"/>
        <v/>
      </c>
      <c r="X27" s="65" t="str">
        <f t="shared" si="1"/>
        <v/>
      </c>
      <c r="Y27" s="284"/>
      <c r="Z27" s="285" t="e">
        <f t="shared" si="74"/>
        <v>#VALUE!</v>
      </c>
      <c r="AA27" s="53"/>
      <c r="AB27" s="41"/>
      <c r="AC27" s="41"/>
      <c r="AD27" s="41"/>
      <c r="AE27" s="41"/>
      <c r="AF27" s="96" t="str">
        <f t="shared" si="2"/>
        <v/>
      </c>
      <c r="AG27" s="96" t="str">
        <f t="shared" si="3"/>
        <v/>
      </c>
      <c r="AH27" s="96" t="str">
        <f t="shared" si="4"/>
        <v/>
      </c>
      <c r="AI27" s="96" t="str">
        <f>+IF(H27=1,X27,"")</f>
        <v/>
      </c>
      <c r="AJ27" s="168"/>
      <c r="AK27" s="192">
        <f t="shared" si="94"/>
        <v>11</v>
      </c>
      <c r="AL27" s="174" t="str">
        <f t="shared" si="5"/>
        <v/>
      </c>
      <c r="AM27" s="155">
        <f t="shared" si="6"/>
        <v>11</v>
      </c>
      <c r="AN27" s="175" t="str">
        <f t="shared" si="7"/>
        <v/>
      </c>
      <c r="AO27" s="156" t="str">
        <f t="shared" si="8"/>
        <v/>
      </c>
      <c r="AP27" s="176" t="str">
        <f t="shared" si="75"/>
        <v/>
      </c>
      <c r="AQ27" s="216" t="str">
        <f t="shared" si="76"/>
        <v/>
      </c>
      <c r="AR27" s="178" t="str">
        <f t="shared" si="9"/>
        <v/>
      </c>
      <c r="AS27" s="156" t="str">
        <f t="shared" si="10"/>
        <v/>
      </c>
      <c r="AT27" s="156" t="str">
        <f t="shared" si="77"/>
        <v/>
      </c>
      <c r="AU27" s="175" t="str">
        <f t="shared" si="11"/>
        <v/>
      </c>
      <c r="AV27" s="156" t="str">
        <f t="shared" si="12"/>
        <v/>
      </c>
      <c r="AW27" s="176" t="str">
        <f t="shared" si="78"/>
        <v/>
      </c>
      <c r="AX27" s="216" t="str">
        <f t="shared" si="79"/>
        <v/>
      </c>
      <c r="AY27" s="156" t="str">
        <f t="shared" si="13"/>
        <v/>
      </c>
      <c r="AZ27" s="156" t="str">
        <f t="shared" si="80"/>
        <v/>
      </c>
      <c r="BA27" s="156" t="str">
        <f t="shared" si="81"/>
        <v/>
      </c>
      <c r="BB27" s="175" t="str">
        <f t="shared" si="14"/>
        <v/>
      </c>
      <c r="BC27" s="156" t="str">
        <f t="shared" si="15"/>
        <v/>
      </c>
      <c r="BD27" s="216" t="str">
        <f t="shared" si="16"/>
        <v/>
      </c>
      <c r="BE27" s="216" t="str">
        <f t="shared" si="17"/>
        <v/>
      </c>
      <c r="BF27" s="156" t="str">
        <f t="shared" si="18"/>
        <v/>
      </c>
      <c r="BG27" s="156" t="e">
        <f t="shared" si="82"/>
        <v>#DIV/0!</v>
      </c>
      <c r="BH27" s="156" t="e">
        <f t="shared" si="83"/>
        <v>#VALUE!</v>
      </c>
      <c r="BI27" s="175" t="str">
        <f t="shared" si="19"/>
        <v/>
      </c>
      <c r="BJ27" s="156" t="str">
        <f t="shared" si="20"/>
        <v/>
      </c>
      <c r="BK27" s="176" t="str">
        <f t="shared" si="21"/>
        <v/>
      </c>
      <c r="BL27" s="156" t="str">
        <f t="shared" si="22"/>
        <v/>
      </c>
      <c r="BM27" s="175" t="str">
        <f t="shared" si="23"/>
        <v/>
      </c>
      <c r="BN27" s="156" t="str">
        <f t="shared" si="24"/>
        <v/>
      </c>
      <c r="BO27" s="176" t="str">
        <f t="shared" si="25"/>
        <v/>
      </c>
      <c r="BP27" s="156" t="str">
        <f t="shared" si="26"/>
        <v/>
      </c>
      <c r="BQ27" s="156"/>
      <c r="BR27" s="182"/>
      <c r="BS27" s="155"/>
      <c r="BT27" s="174" t="str">
        <f t="shared" si="27"/>
        <v/>
      </c>
      <c r="BU27" s="155">
        <f t="shared" si="28"/>
        <v>11</v>
      </c>
      <c r="BV27" s="175" t="str">
        <f t="shared" si="29"/>
        <v/>
      </c>
      <c r="BW27" s="156" t="str">
        <f t="shared" si="30"/>
        <v/>
      </c>
      <c r="BX27" s="176" t="str">
        <f t="shared" si="84"/>
        <v/>
      </c>
      <c r="BY27" s="216" t="str">
        <f t="shared" si="85"/>
        <v/>
      </c>
      <c r="BZ27" s="156" t="str">
        <f t="shared" si="31"/>
        <v/>
      </c>
      <c r="CA27" s="156" t="str">
        <f t="shared" si="86"/>
        <v/>
      </c>
      <c r="CB27" s="177" t="str">
        <f t="shared" si="32"/>
        <v/>
      </c>
      <c r="CC27" s="175" t="str">
        <f t="shared" si="33"/>
        <v/>
      </c>
      <c r="CD27" s="156" t="str">
        <f t="shared" si="34"/>
        <v/>
      </c>
      <c r="CE27" s="176" t="str">
        <f t="shared" si="87"/>
        <v/>
      </c>
      <c r="CF27" s="216" t="str">
        <f t="shared" si="88"/>
        <v/>
      </c>
      <c r="CG27" s="156" t="str">
        <f t="shared" si="35"/>
        <v/>
      </c>
      <c r="CH27" s="156" t="str">
        <f t="shared" si="89"/>
        <v/>
      </c>
      <c r="CI27" s="156" t="str">
        <f t="shared" si="90"/>
        <v/>
      </c>
      <c r="CJ27" s="175" t="str">
        <f t="shared" si="36"/>
        <v/>
      </c>
      <c r="CK27" s="156" t="str">
        <f t="shared" si="37"/>
        <v/>
      </c>
      <c r="CL27" s="176" t="str">
        <f t="shared" si="38"/>
        <v/>
      </c>
      <c r="CM27" s="216" t="str">
        <f t="shared" si="91"/>
        <v/>
      </c>
      <c r="CN27" s="156" t="str">
        <f t="shared" si="39"/>
        <v/>
      </c>
      <c r="CO27" s="156" t="str">
        <f t="shared" si="40"/>
        <v/>
      </c>
      <c r="CP27" s="156" t="str">
        <f t="shared" si="92"/>
        <v/>
      </c>
      <c r="CQ27" s="175" t="str">
        <f t="shared" si="41"/>
        <v/>
      </c>
      <c r="CR27" s="156" t="str">
        <f t="shared" si="42"/>
        <v/>
      </c>
      <c r="CS27" s="156" t="str">
        <f t="shared" si="43"/>
        <v/>
      </c>
      <c r="CT27" s="156" t="str">
        <f t="shared" si="44"/>
        <v/>
      </c>
      <c r="CU27" s="175" t="str">
        <f t="shared" si="45"/>
        <v/>
      </c>
      <c r="CV27" s="156" t="str">
        <f t="shared" si="46"/>
        <v/>
      </c>
      <c r="CW27" s="156" t="str">
        <f t="shared" si="47"/>
        <v/>
      </c>
      <c r="CX27" s="156" t="str">
        <f t="shared" si="48"/>
        <v/>
      </c>
      <c r="CY27" s="156"/>
      <c r="CZ27" s="179"/>
      <c r="DA27" s="155"/>
      <c r="DB27" s="174" t="str">
        <f t="shared" si="49"/>
        <v/>
      </c>
      <c r="DC27" s="155">
        <f t="shared" si="95"/>
        <v>11</v>
      </c>
      <c r="DD27" s="175" t="str">
        <f t="shared" si="50"/>
        <v/>
      </c>
      <c r="DE27" s="156" t="str">
        <f t="shared" si="51"/>
        <v/>
      </c>
      <c r="DF27" s="178" t="str">
        <f t="shared" si="52"/>
        <v/>
      </c>
      <c r="DG27" s="177" t="str">
        <f t="shared" si="53"/>
        <v/>
      </c>
      <c r="DH27" s="175" t="str">
        <f t="shared" si="54"/>
        <v/>
      </c>
      <c r="DI27" s="156" t="str">
        <f t="shared" si="55"/>
        <v/>
      </c>
      <c r="DJ27" s="176" t="str">
        <f t="shared" si="56"/>
        <v/>
      </c>
      <c r="DK27" s="156" t="str">
        <f t="shared" si="57"/>
        <v/>
      </c>
      <c r="DL27" s="175" t="str">
        <f t="shared" si="58"/>
        <v/>
      </c>
      <c r="DM27" s="156" t="str">
        <f t="shared" si="59"/>
        <v/>
      </c>
      <c r="DN27" s="176" t="str">
        <f t="shared" si="60"/>
        <v/>
      </c>
      <c r="DO27" s="156" t="str">
        <f t="shared" si="61"/>
        <v/>
      </c>
      <c r="DP27" s="175" t="str">
        <f t="shared" si="62"/>
        <v/>
      </c>
      <c r="DQ27" s="156" t="str">
        <f t="shared" si="63"/>
        <v/>
      </c>
      <c r="DR27" s="156" t="str">
        <f t="shared" si="64"/>
        <v/>
      </c>
      <c r="DS27" s="156" t="str">
        <f t="shared" si="65"/>
        <v/>
      </c>
      <c r="DT27" s="175" t="str">
        <f t="shared" si="66"/>
        <v/>
      </c>
      <c r="DU27" s="156" t="str">
        <f t="shared" si="67"/>
        <v/>
      </c>
      <c r="DV27" s="156" t="str">
        <f t="shared" si="68"/>
        <v/>
      </c>
      <c r="DW27" s="156" t="str">
        <f t="shared" si="69"/>
        <v/>
      </c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</row>
    <row r="28" spans="1:176" s="87" customFormat="1" ht="12.75" customHeight="1" thickBot="1" x14ac:dyDescent="0.2">
      <c r="A28" s="53"/>
      <c r="B28" s="229">
        <f t="shared" si="93"/>
        <v>12</v>
      </c>
      <c r="C28" s="66"/>
      <c r="D28" s="60"/>
      <c r="E28" s="61"/>
      <c r="F28" s="312"/>
      <c r="G28" s="313"/>
      <c r="H28" s="62"/>
      <c r="I28" s="62"/>
      <c r="J28" s="62"/>
      <c r="K28" s="62"/>
      <c r="L28" s="271"/>
      <c r="M28" s="93"/>
      <c r="N28" s="94"/>
      <c r="O28" s="93"/>
      <c r="P28" s="95"/>
      <c r="Q28" s="233"/>
      <c r="R28" s="233"/>
      <c r="S28" s="280" t="str">
        <f t="shared" si="70"/>
        <v/>
      </c>
      <c r="T28" s="278" t="str">
        <f t="shared" si="71"/>
        <v/>
      </c>
      <c r="U28" s="235" t="str">
        <f t="shared" si="72"/>
        <v/>
      </c>
      <c r="V28" s="63" t="str">
        <f t="shared" si="73"/>
        <v/>
      </c>
      <c r="W28" s="64" t="str">
        <f t="shared" si="0"/>
        <v/>
      </c>
      <c r="X28" s="65" t="str">
        <f t="shared" si="1"/>
        <v/>
      </c>
      <c r="Y28" s="284"/>
      <c r="Z28" s="285" t="e">
        <f t="shared" si="74"/>
        <v>#VALUE!</v>
      </c>
      <c r="AA28" s="53"/>
      <c r="AB28" s="41"/>
      <c r="AC28" s="41"/>
      <c r="AD28" s="41"/>
      <c r="AE28" s="41"/>
      <c r="AF28" s="96" t="str">
        <f t="shared" si="2"/>
        <v/>
      </c>
      <c r="AG28" s="96" t="str">
        <f t="shared" si="3"/>
        <v/>
      </c>
      <c r="AH28" s="96" t="str">
        <f t="shared" si="4"/>
        <v/>
      </c>
      <c r="AI28" s="96"/>
      <c r="AJ28" s="168"/>
      <c r="AK28" s="192">
        <f t="shared" si="94"/>
        <v>12</v>
      </c>
      <c r="AL28" s="174" t="str">
        <f t="shared" si="5"/>
        <v/>
      </c>
      <c r="AM28" s="155">
        <f t="shared" si="6"/>
        <v>12</v>
      </c>
      <c r="AN28" s="175" t="str">
        <f t="shared" si="7"/>
        <v/>
      </c>
      <c r="AO28" s="156" t="str">
        <f t="shared" si="8"/>
        <v/>
      </c>
      <c r="AP28" s="176" t="str">
        <f t="shared" si="75"/>
        <v/>
      </c>
      <c r="AQ28" s="216" t="str">
        <f t="shared" si="76"/>
        <v/>
      </c>
      <c r="AR28" s="178" t="str">
        <f t="shared" si="9"/>
        <v/>
      </c>
      <c r="AS28" s="156" t="str">
        <f t="shared" si="10"/>
        <v/>
      </c>
      <c r="AT28" s="156" t="str">
        <f t="shared" si="77"/>
        <v/>
      </c>
      <c r="AU28" s="175" t="str">
        <f t="shared" si="11"/>
        <v/>
      </c>
      <c r="AV28" s="156" t="str">
        <f t="shared" si="12"/>
        <v/>
      </c>
      <c r="AW28" s="176" t="str">
        <f t="shared" si="78"/>
        <v/>
      </c>
      <c r="AX28" s="216" t="str">
        <f t="shared" si="79"/>
        <v/>
      </c>
      <c r="AY28" s="156" t="str">
        <f t="shared" si="13"/>
        <v/>
      </c>
      <c r="AZ28" s="156" t="str">
        <f t="shared" si="80"/>
        <v/>
      </c>
      <c r="BA28" s="156" t="str">
        <f t="shared" si="81"/>
        <v/>
      </c>
      <c r="BB28" s="175" t="str">
        <f t="shared" si="14"/>
        <v/>
      </c>
      <c r="BC28" s="156" t="str">
        <f t="shared" si="15"/>
        <v/>
      </c>
      <c r="BD28" s="216" t="str">
        <f t="shared" si="16"/>
        <v/>
      </c>
      <c r="BE28" s="216" t="str">
        <f t="shared" si="17"/>
        <v/>
      </c>
      <c r="BF28" s="156" t="str">
        <f t="shared" si="18"/>
        <v/>
      </c>
      <c r="BG28" s="156" t="e">
        <f t="shared" si="82"/>
        <v>#DIV/0!</v>
      </c>
      <c r="BH28" s="156" t="e">
        <f t="shared" si="83"/>
        <v>#VALUE!</v>
      </c>
      <c r="BI28" s="175" t="str">
        <f t="shared" si="19"/>
        <v/>
      </c>
      <c r="BJ28" s="156" t="str">
        <f t="shared" si="20"/>
        <v/>
      </c>
      <c r="BK28" s="176" t="str">
        <f t="shared" si="21"/>
        <v/>
      </c>
      <c r="BL28" s="156" t="str">
        <f t="shared" si="22"/>
        <v/>
      </c>
      <c r="BM28" s="175" t="str">
        <f t="shared" si="23"/>
        <v/>
      </c>
      <c r="BN28" s="156" t="str">
        <f t="shared" si="24"/>
        <v/>
      </c>
      <c r="BO28" s="176" t="str">
        <f t="shared" si="25"/>
        <v/>
      </c>
      <c r="BP28" s="156" t="str">
        <f t="shared" si="26"/>
        <v/>
      </c>
      <c r="BQ28" s="156"/>
      <c r="BR28" s="179"/>
      <c r="BS28" s="155"/>
      <c r="BT28" s="174" t="str">
        <f t="shared" si="27"/>
        <v/>
      </c>
      <c r="BU28" s="155">
        <f t="shared" si="28"/>
        <v>12</v>
      </c>
      <c r="BV28" s="175" t="str">
        <f t="shared" si="29"/>
        <v/>
      </c>
      <c r="BW28" s="156" t="str">
        <f t="shared" si="30"/>
        <v/>
      </c>
      <c r="BX28" s="176" t="str">
        <f t="shared" si="84"/>
        <v/>
      </c>
      <c r="BY28" s="216" t="str">
        <f t="shared" si="85"/>
        <v/>
      </c>
      <c r="BZ28" s="156" t="str">
        <f t="shared" si="31"/>
        <v/>
      </c>
      <c r="CA28" s="156" t="str">
        <f t="shared" si="86"/>
        <v/>
      </c>
      <c r="CB28" s="177" t="str">
        <f t="shared" si="32"/>
        <v/>
      </c>
      <c r="CC28" s="175" t="str">
        <f t="shared" si="33"/>
        <v/>
      </c>
      <c r="CD28" s="156" t="str">
        <f t="shared" si="34"/>
        <v/>
      </c>
      <c r="CE28" s="176" t="str">
        <f t="shared" si="87"/>
        <v/>
      </c>
      <c r="CF28" s="216" t="str">
        <f t="shared" si="88"/>
        <v/>
      </c>
      <c r="CG28" s="156" t="str">
        <f t="shared" si="35"/>
        <v/>
      </c>
      <c r="CH28" s="156" t="str">
        <f t="shared" si="89"/>
        <v/>
      </c>
      <c r="CI28" s="156" t="str">
        <f t="shared" si="90"/>
        <v/>
      </c>
      <c r="CJ28" s="175" t="str">
        <f t="shared" si="36"/>
        <v/>
      </c>
      <c r="CK28" s="156" t="str">
        <f t="shared" si="37"/>
        <v/>
      </c>
      <c r="CL28" s="176" t="str">
        <f t="shared" si="38"/>
        <v/>
      </c>
      <c r="CM28" s="216" t="str">
        <f t="shared" si="91"/>
        <v/>
      </c>
      <c r="CN28" s="156" t="str">
        <f t="shared" si="39"/>
        <v/>
      </c>
      <c r="CO28" s="156" t="str">
        <f t="shared" si="40"/>
        <v/>
      </c>
      <c r="CP28" s="156" t="str">
        <f t="shared" si="92"/>
        <v/>
      </c>
      <c r="CQ28" s="175" t="str">
        <f t="shared" si="41"/>
        <v/>
      </c>
      <c r="CR28" s="156" t="str">
        <f t="shared" si="42"/>
        <v/>
      </c>
      <c r="CS28" s="156" t="str">
        <f t="shared" si="43"/>
        <v/>
      </c>
      <c r="CT28" s="156" t="str">
        <f t="shared" si="44"/>
        <v/>
      </c>
      <c r="CU28" s="175" t="str">
        <f t="shared" si="45"/>
        <v/>
      </c>
      <c r="CV28" s="156" t="str">
        <f t="shared" si="46"/>
        <v/>
      </c>
      <c r="CW28" s="156" t="str">
        <f t="shared" si="47"/>
        <v/>
      </c>
      <c r="CX28" s="156" t="str">
        <f t="shared" si="48"/>
        <v/>
      </c>
      <c r="CY28" s="156"/>
      <c r="CZ28" s="179"/>
      <c r="DA28" s="155"/>
      <c r="DB28" s="174" t="str">
        <f t="shared" si="49"/>
        <v/>
      </c>
      <c r="DC28" s="155">
        <f t="shared" si="95"/>
        <v>12</v>
      </c>
      <c r="DD28" s="175" t="str">
        <f t="shared" si="50"/>
        <v/>
      </c>
      <c r="DE28" s="156" t="str">
        <f t="shared" si="51"/>
        <v/>
      </c>
      <c r="DF28" s="178" t="str">
        <f t="shared" si="52"/>
        <v/>
      </c>
      <c r="DG28" s="177" t="str">
        <f t="shared" si="53"/>
        <v/>
      </c>
      <c r="DH28" s="175" t="str">
        <f t="shared" si="54"/>
        <v/>
      </c>
      <c r="DI28" s="156" t="str">
        <f t="shared" si="55"/>
        <v/>
      </c>
      <c r="DJ28" s="176" t="str">
        <f t="shared" si="56"/>
        <v/>
      </c>
      <c r="DK28" s="156" t="str">
        <f t="shared" si="57"/>
        <v/>
      </c>
      <c r="DL28" s="175" t="str">
        <f t="shared" si="58"/>
        <v/>
      </c>
      <c r="DM28" s="156" t="str">
        <f t="shared" si="59"/>
        <v/>
      </c>
      <c r="DN28" s="176" t="str">
        <f t="shared" si="60"/>
        <v/>
      </c>
      <c r="DO28" s="156" t="str">
        <f t="shared" si="61"/>
        <v/>
      </c>
      <c r="DP28" s="175" t="str">
        <f t="shared" si="62"/>
        <v/>
      </c>
      <c r="DQ28" s="156" t="str">
        <f t="shared" si="63"/>
        <v/>
      </c>
      <c r="DR28" s="156" t="str">
        <f t="shared" si="64"/>
        <v/>
      </c>
      <c r="DS28" s="156" t="str">
        <f t="shared" si="65"/>
        <v/>
      </c>
      <c r="DT28" s="175" t="str">
        <f t="shared" si="66"/>
        <v/>
      </c>
      <c r="DU28" s="156" t="str">
        <f t="shared" si="67"/>
        <v/>
      </c>
      <c r="DV28" s="156" t="str">
        <f t="shared" si="68"/>
        <v/>
      </c>
      <c r="DW28" s="156" t="str">
        <f t="shared" si="69"/>
        <v/>
      </c>
      <c r="DX28" s="81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</row>
    <row r="29" spans="1:176" ht="12.75" customHeight="1" thickTop="1" x14ac:dyDescent="0.15">
      <c r="B29" s="229">
        <f t="shared" si="93"/>
        <v>13</v>
      </c>
      <c r="C29" s="59"/>
      <c r="D29" s="60"/>
      <c r="E29" s="61"/>
      <c r="F29" s="312"/>
      <c r="G29" s="313"/>
      <c r="H29" s="62"/>
      <c r="I29" s="62"/>
      <c r="J29" s="62"/>
      <c r="K29" s="62"/>
      <c r="L29" s="271"/>
      <c r="M29" s="93"/>
      <c r="N29" s="94"/>
      <c r="O29" s="93"/>
      <c r="P29" s="95"/>
      <c r="Q29" s="233"/>
      <c r="R29" s="233"/>
      <c r="S29" s="280" t="str">
        <f t="shared" si="70"/>
        <v/>
      </c>
      <c r="T29" s="278" t="str">
        <f t="shared" si="71"/>
        <v/>
      </c>
      <c r="U29" s="235" t="str">
        <f t="shared" si="72"/>
        <v/>
      </c>
      <c r="V29" s="63" t="str">
        <f t="shared" si="73"/>
        <v/>
      </c>
      <c r="W29" s="64" t="str">
        <f t="shared" si="0"/>
        <v/>
      </c>
      <c r="X29" s="65" t="str">
        <f t="shared" si="1"/>
        <v/>
      </c>
      <c r="Y29" s="284"/>
      <c r="Z29" s="285" t="e">
        <f t="shared" si="74"/>
        <v>#VALUE!</v>
      </c>
      <c r="AA29" s="53"/>
      <c r="AB29" s="41"/>
      <c r="AC29" s="41"/>
      <c r="AD29" s="41"/>
      <c r="AE29" s="41"/>
      <c r="AF29" s="96" t="str">
        <f t="shared" si="2"/>
        <v/>
      </c>
      <c r="AG29" s="96" t="str">
        <f t="shared" si="3"/>
        <v/>
      </c>
      <c r="AH29" s="96" t="str">
        <f t="shared" si="4"/>
        <v/>
      </c>
      <c r="AI29" s="96"/>
      <c r="AJ29" s="168"/>
      <c r="AK29" s="192">
        <f t="shared" si="94"/>
        <v>13</v>
      </c>
      <c r="AL29" s="174" t="str">
        <f t="shared" si="5"/>
        <v/>
      </c>
      <c r="AM29" s="155">
        <f t="shared" si="6"/>
        <v>13</v>
      </c>
      <c r="AN29" s="175" t="str">
        <f t="shared" si="7"/>
        <v/>
      </c>
      <c r="AO29" s="156" t="str">
        <f t="shared" si="8"/>
        <v/>
      </c>
      <c r="AP29" s="176" t="str">
        <f t="shared" si="75"/>
        <v/>
      </c>
      <c r="AQ29" s="216" t="str">
        <f t="shared" si="76"/>
        <v/>
      </c>
      <c r="AR29" s="178" t="str">
        <f t="shared" si="9"/>
        <v/>
      </c>
      <c r="AS29" s="156" t="str">
        <f t="shared" si="10"/>
        <v/>
      </c>
      <c r="AT29" s="156" t="str">
        <f t="shared" si="77"/>
        <v/>
      </c>
      <c r="AU29" s="175" t="str">
        <f t="shared" si="11"/>
        <v/>
      </c>
      <c r="AV29" s="156" t="str">
        <f t="shared" si="12"/>
        <v/>
      </c>
      <c r="AW29" s="176" t="str">
        <f t="shared" si="78"/>
        <v/>
      </c>
      <c r="AX29" s="216" t="str">
        <f t="shared" si="79"/>
        <v/>
      </c>
      <c r="AY29" s="156" t="str">
        <f t="shared" si="13"/>
        <v/>
      </c>
      <c r="AZ29" s="156" t="str">
        <f t="shared" si="80"/>
        <v/>
      </c>
      <c r="BA29" s="156" t="str">
        <f t="shared" si="81"/>
        <v/>
      </c>
      <c r="BB29" s="175" t="str">
        <f t="shared" si="14"/>
        <v/>
      </c>
      <c r="BC29" s="156" t="str">
        <f t="shared" si="15"/>
        <v/>
      </c>
      <c r="BD29" s="216" t="str">
        <f t="shared" si="16"/>
        <v/>
      </c>
      <c r="BE29" s="216" t="str">
        <f t="shared" si="17"/>
        <v/>
      </c>
      <c r="BF29" s="156" t="str">
        <f t="shared" si="18"/>
        <v/>
      </c>
      <c r="BG29" s="156" t="e">
        <f t="shared" si="82"/>
        <v>#DIV/0!</v>
      </c>
      <c r="BH29" s="156" t="e">
        <f t="shared" si="83"/>
        <v>#VALUE!</v>
      </c>
      <c r="BI29" s="175" t="str">
        <f t="shared" si="19"/>
        <v/>
      </c>
      <c r="BJ29" s="156" t="str">
        <f t="shared" si="20"/>
        <v/>
      </c>
      <c r="BK29" s="176" t="str">
        <f t="shared" si="21"/>
        <v/>
      </c>
      <c r="BL29" s="156" t="str">
        <f t="shared" si="22"/>
        <v/>
      </c>
      <c r="BM29" s="175" t="str">
        <f t="shared" si="23"/>
        <v/>
      </c>
      <c r="BN29" s="156" t="str">
        <f t="shared" si="24"/>
        <v/>
      </c>
      <c r="BO29" s="176" t="str">
        <f t="shared" si="25"/>
        <v/>
      </c>
      <c r="BP29" s="156" t="str">
        <f t="shared" si="26"/>
        <v/>
      </c>
      <c r="BQ29" s="156"/>
      <c r="BR29" s="179"/>
      <c r="BS29" s="155"/>
      <c r="BT29" s="174" t="str">
        <f t="shared" si="27"/>
        <v/>
      </c>
      <c r="BU29" s="155">
        <f t="shared" si="28"/>
        <v>13</v>
      </c>
      <c r="BV29" s="175" t="str">
        <f t="shared" si="29"/>
        <v/>
      </c>
      <c r="BW29" s="156" t="str">
        <f t="shared" si="30"/>
        <v/>
      </c>
      <c r="BX29" s="176" t="str">
        <f t="shared" si="84"/>
        <v/>
      </c>
      <c r="BY29" s="216" t="str">
        <f t="shared" si="85"/>
        <v/>
      </c>
      <c r="BZ29" s="156" t="str">
        <f t="shared" si="31"/>
        <v/>
      </c>
      <c r="CA29" s="156" t="str">
        <f t="shared" si="86"/>
        <v/>
      </c>
      <c r="CB29" s="177" t="str">
        <f t="shared" si="32"/>
        <v/>
      </c>
      <c r="CC29" s="175" t="str">
        <f t="shared" si="33"/>
        <v/>
      </c>
      <c r="CD29" s="156" t="str">
        <f t="shared" si="34"/>
        <v/>
      </c>
      <c r="CE29" s="176" t="str">
        <f t="shared" si="87"/>
        <v/>
      </c>
      <c r="CF29" s="216" t="str">
        <f t="shared" si="88"/>
        <v/>
      </c>
      <c r="CG29" s="156" t="str">
        <f t="shared" si="35"/>
        <v/>
      </c>
      <c r="CH29" s="156" t="str">
        <f t="shared" si="89"/>
        <v/>
      </c>
      <c r="CI29" s="156" t="str">
        <f t="shared" si="90"/>
        <v/>
      </c>
      <c r="CJ29" s="175" t="str">
        <f t="shared" si="36"/>
        <v/>
      </c>
      <c r="CK29" s="156" t="str">
        <f t="shared" si="37"/>
        <v/>
      </c>
      <c r="CL29" s="176" t="str">
        <f t="shared" si="38"/>
        <v/>
      </c>
      <c r="CM29" s="216" t="str">
        <f t="shared" si="91"/>
        <v/>
      </c>
      <c r="CN29" s="156" t="str">
        <f t="shared" si="39"/>
        <v/>
      </c>
      <c r="CO29" s="156" t="str">
        <f t="shared" si="40"/>
        <v/>
      </c>
      <c r="CP29" s="156" t="str">
        <f t="shared" si="92"/>
        <v/>
      </c>
      <c r="CQ29" s="175" t="str">
        <f t="shared" si="41"/>
        <v/>
      </c>
      <c r="CR29" s="156" t="str">
        <f t="shared" si="42"/>
        <v/>
      </c>
      <c r="CS29" s="156" t="str">
        <f t="shared" si="43"/>
        <v/>
      </c>
      <c r="CT29" s="156" t="str">
        <f t="shared" si="44"/>
        <v/>
      </c>
      <c r="CU29" s="175" t="str">
        <f t="shared" si="45"/>
        <v/>
      </c>
      <c r="CV29" s="156" t="str">
        <f t="shared" si="46"/>
        <v/>
      </c>
      <c r="CW29" s="156" t="str">
        <f t="shared" si="47"/>
        <v/>
      </c>
      <c r="CX29" s="156" t="str">
        <f t="shared" si="48"/>
        <v/>
      </c>
      <c r="CY29" s="156"/>
      <c r="CZ29" s="179"/>
      <c r="DA29" s="155"/>
      <c r="DB29" s="174" t="str">
        <f t="shared" si="49"/>
        <v/>
      </c>
      <c r="DC29" s="155">
        <f t="shared" si="95"/>
        <v>13</v>
      </c>
      <c r="DD29" s="175" t="str">
        <f t="shared" si="50"/>
        <v/>
      </c>
      <c r="DE29" s="156" t="str">
        <f t="shared" si="51"/>
        <v/>
      </c>
      <c r="DF29" s="178" t="str">
        <f t="shared" si="52"/>
        <v/>
      </c>
      <c r="DG29" s="177" t="str">
        <f t="shared" si="53"/>
        <v/>
      </c>
      <c r="DH29" s="175" t="str">
        <f t="shared" si="54"/>
        <v/>
      </c>
      <c r="DI29" s="156" t="str">
        <f t="shared" si="55"/>
        <v/>
      </c>
      <c r="DJ29" s="176" t="str">
        <f t="shared" si="56"/>
        <v/>
      </c>
      <c r="DK29" s="156" t="str">
        <f t="shared" si="57"/>
        <v/>
      </c>
      <c r="DL29" s="175" t="str">
        <f t="shared" si="58"/>
        <v/>
      </c>
      <c r="DM29" s="156" t="str">
        <f t="shared" si="59"/>
        <v/>
      </c>
      <c r="DN29" s="176" t="str">
        <f t="shared" si="60"/>
        <v/>
      </c>
      <c r="DO29" s="156" t="str">
        <f t="shared" si="61"/>
        <v/>
      </c>
      <c r="DP29" s="175" t="str">
        <f t="shared" si="62"/>
        <v/>
      </c>
      <c r="DQ29" s="156" t="str">
        <f t="shared" si="63"/>
        <v/>
      </c>
      <c r="DR29" s="156" t="str">
        <f t="shared" si="64"/>
        <v/>
      </c>
      <c r="DS29" s="156" t="str">
        <f t="shared" si="65"/>
        <v/>
      </c>
      <c r="DT29" s="175" t="str">
        <f t="shared" si="66"/>
        <v/>
      </c>
      <c r="DU29" s="156" t="str">
        <f t="shared" si="67"/>
        <v/>
      </c>
      <c r="DV29" s="156" t="str">
        <f t="shared" si="68"/>
        <v/>
      </c>
      <c r="DW29" s="156" t="str">
        <f t="shared" si="69"/>
        <v/>
      </c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</row>
    <row r="30" spans="1:176" ht="12.75" customHeight="1" x14ac:dyDescent="0.15">
      <c r="B30" s="229">
        <f t="shared" si="93"/>
        <v>14</v>
      </c>
      <c r="C30" s="59"/>
      <c r="D30" s="60"/>
      <c r="E30" s="61"/>
      <c r="F30" s="312"/>
      <c r="G30" s="313"/>
      <c r="H30" s="62"/>
      <c r="I30" s="62"/>
      <c r="J30" s="62"/>
      <c r="K30" s="62"/>
      <c r="L30" s="271"/>
      <c r="M30" s="93"/>
      <c r="N30" s="94"/>
      <c r="O30" s="93"/>
      <c r="P30" s="95"/>
      <c r="Q30" s="233"/>
      <c r="R30" s="233"/>
      <c r="S30" s="280" t="str">
        <f t="shared" si="70"/>
        <v/>
      </c>
      <c r="T30" s="278" t="str">
        <f t="shared" si="71"/>
        <v/>
      </c>
      <c r="U30" s="235" t="str">
        <f t="shared" si="72"/>
        <v/>
      </c>
      <c r="V30" s="63" t="str">
        <f t="shared" si="73"/>
        <v/>
      </c>
      <c r="W30" s="64" t="str">
        <f t="shared" si="0"/>
        <v/>
      </c>
      <c r="X30" s="65" t="str">
        <f t="shared" si="1"/>
        <v/>
      </c>
      <c r="Y30" s="284"/>
      <c r="Z30" s="285" t="e">
        <f t="shared" si="74"/>
        <v>#VALUE!</v>
      </c>
      <c r="AA30" s="53"/>
      <c r="AB30" s="41"/>
      <c r="AC30" s="41"/>
      <c r="AD30" s="41"/>
      <c r="AE30" s="41"/>
      <c r="AF30" s="96" t="str">
        <f t="shared" si="2"/>
        <v/>
      </c>
      <c r="AG30" s="96" t="str">
        <f t="shared" si="3"/>
        <v/>
      </c>
      <c r="AH30" s="96" t="str">
        <f t="shared" si="4"/>
        <v/>
      </c>
      <c r="AI30" s="96"/>
      <c r="AJ30" s="168"/>
      <c r="AK30" s="192">
        <f t="shared" si="94"/>
        <v>14</v>
      </c>
      <c r="AL30" s="174" t="str">
        <f t="shared" si="5"/>
        <v/>
      </c>
      <c r="AM30" s="155">
        <f t="shared" si="6"/>
        <v>14</v>
      </c>
      <c r="AN30" s="175" t="str">
        <f t="shared" si="7"/>
        <v/>
      </c>
      <c r="AO30" s="156" t="str">
        <f t="shared" si="8"/>
        <v/>
      </c>
      <c r="AP30" s="176" t="str">
        <f t="shared" si="75"/>
        <v/>
      </c>
      <c r="AQ30" s="216" t="str">
        <f t="shared" si="76"/>
        <v/>
      </c>
      <c r="AR30" s="178" t="str">
        <f t="shared" si="9"/>
        <v/>
      </c>
      <c r="AS30" s="156" t="str">
        <f t="shared" si="10"/>
        <v/>
      </c>
      <c r="AT30" s="156" t="str">
        <f t="shared" si="77"/>
        <v/>
      </c>
      <c r="AU30" s="175" t="str">
        <f t="shared" si="11"/>
        <v/>
      </c>
      <c r="AV30" s="156" t="str">
        <f t="shared" si="12"/>
        <v/>
      </c>
      <c r="AW30" s="176" t="str">
        <f t="shared" si="78"/>
        <v/>
      </c>
      <c r="AX30" s="216" t="str">
        <f t="shared" si="79"/>
        <v/>
      </c>
      <c r="AY30" s="156" t="str">
        <f t="shared" si="13"/>
        <v/>
      </c>
      <c r="AZ30" s="156" t="str">
        <f t="shared" si="80"/>
        <v/>
      </c>
      <c r="BA30" s="156" t="str">
        <f t="shared" si="81"/>
        <v/>
      </c>
      <c r="BB30" s="175" t="str">
        <f t="shared" si="14"/>
        <v/>
      </c>
      <c r="BC30" s="156" t="str">
        <f t="shared" si="15"/>
        <v/>
      </c>
      <c r="BD30" s="216" t="str">
        <f t="shared" si="16"/>
        <v/>
      </c>
      <c r="BE30" s="216" t="str">
        <f t="shared" si="17"/>
        <v/>
      </c>
      <c r="BF30" s="156" t="str">
        <f t="shared" si="18"/>
        <v/>
      </c>
      <c r="BG30" s="156" t="str">
        <f>IF(BC30="","",(((1/$J$67)*(LN(($J$66/(BD30+$J$68)))))*62.4)-(BH30/20))</f>
        <v/>
      </c>
      <c r="BH30" s="156" t="e">
        <f t="shared" si="83"/>
        <v>#VALUE!</v>
      </c>
      <c r="BI30" s="175" t="str">
        <f t="shared" si="19"/>
        <v/>
      </c>
      <c r="BJ30" s="156" t="str">
        <f t="shared" si="20"/>
        <v/>
      </c>
      <c r="BK30" s="176" t="str">
        <f t="shared" si="21"/>
        <v/>
      </c>
      <c r="BL30" s="156" t="str">
        <f t="shared" si="22"/>
        <v/>
      </c>
      <c r="BM30" s="175" t="str">
        <f t="shared" si="23"/>
        <v/>
      </c>
      <c r="BN30" s="156" t="str">
        <f t="shared" si="24"/>
        <v/>
      </c>
      <c r="BO30" s="176" t="str">
        <f t="shared" si="25"/>
        <v/>
      </c>
      <c r="BP30" s="156" t="str">
        <f t="shared" si="26"/>
        <v/>
      </c>
      <c r="BQ30" s="156"/>
      <c r="BR30" s="179"/>
      <c r="BS30" s="155"/>
      <c r="BT30" s="174" t="str">
        <f t="shared" si="27"/>
        <v/>
      </c>
      <c r="BU30" s="155">
        <f t="shared" si="28"/>
        <v>14</v>
      </c>
      <c r="BV30" s="175" t="str">
        <f t="shared" si="29"/>
        <v/>
      </c>
      <c r="BW30" s="156" t="str">
        <f t="shared" si="30"/>
        <v/>
      </c>
      <c r="BX30" s="176" t="str">
        <f t="shared" si="84"/>
        <v/>
      </c>
      <c r="BY30" s="216" t="str">
        <f t="shared" si="85"/>
        <v/>
      </c>
      <c r="BZ30" s="156" t="str">
        <f t="shared" si="31"/>
        <v/>
      </c>
      <c r="CA30" s="156" t="str">
        <f t="shared" si="86"/>
        <v/>
      </c>
      <c r="CB30" s="177" t="str">
        <f t="shared" si="32"/>
        <v/>
      </c>
      <c r="CC30" s="175" t="str">
        <f t="shared" si="33"/>
        <v/>
      </c>
      <c r="CD30" s="156" t="str">
        <f t="shared" si="34"/>
        <v/>
      </c>
      <c r="CE30" s="176" t="str">
        <f t="shared" si="87"/>
        <v/>
      </c>
      <c r="CF30" s="216" t="str">
        <f t="shared" si="88"/>
        <v/>
      </c>
      <c r="CG30" s="156" t="str">
        <f t="shared" si="35"/>
        <v/>
      </c>
      <c r="CH30" s="156" t="str">
        <f t="shared" si="89"/>
        <v/>
      </c>
      <c r="CI30" s="156" t="str">
        <f t="shared" si="90"/>
        <v/>
      </c>
      <c r="CJ30" s="175" t="str">
        <f t="shared" si="36"/>
        <v/>
      </c>
      <c r="CK30" s="156" t="str">
        <f t="shared" si="37"/>
        <v/>
      </c>
      <c r="CL30" s="176" t="str">
        <f t="shared" si="38"/>
        <v/>
      </c>
      <c r="CM30" s="216" t="str">
        <f t="shared" si="91"/>
        <v/>
      </c>
      <c r="CN30" s="156" t="str">
        <f t="shared" si="39"/>
        <v/>
      </c>
      <c r="CO30" s="156" t="str">
        <f t="shared" si="40"/>
        <v/>
      </c>
      <c r="CP30" s="156" t="str">
        <f t="shared" si="92"/>
        <v/>
      </c>
      <c r="CQ30" s="175" t="str">
        <f t="shared" si="41"/>
        <v/>
      </c>
      <c r="CR30" s="156" t="str">
        <f t="shared" si="42"/>
        <v/>
      </c>
      <c r="CS30" s="156" t="str">
        <f t="shared" si="43"/>
        <v/>
      </c>
      <c r="CT30" s="156" t="str">
        <f t="shared" si="44"/>
        <v/>
      </c>
      <c r="CU30" s="175" t="str">
        <f t="shared" si="45"/>
        <v/>
      </c>
      <c r="CV30" s="156" t="str">
        <f t="shared" si="46"/>
        <v/>
      </c>
      <c r="CW30" s="156" t="str">
        <f t="shared" si="47"/>
        <v/>
      </c>
      <c r="CX30" s="156" t="str">
        <f t="shared" si="48"/>
        <v/>
      </c>
      <c r="CY30" s="156"/>
      <c r="CZ30" s="179"/>
      <c r="DA30" s="155"/>
      <c r="DB30" s="174" t="str">
        <f t="shared" si="49"/>
        <v/>
      </c>
      <c r="DC30" s="155">
        <f t="shared" si="95"/>
        <v>14</v>
      </c>
      <c r="DD30" s="175" t="str">
        <f t="shared" si="50"/>
        <v/>
      </c>
      <c r="DE30" s="156" t="str">
        <f t="shared" si="51"/>
        <v/>
      </c>
      <c r="DF30" s="178" t="str">
        <f t="shared" si="52"/>
        <v/>
      </c>
      <c r="DG30" s="177" t="str">
        <f t="shared" si="53"/>
        <v/>
      </c>
      <c r="DH30" s="175" t="str">
        <f t="shared" si="54"/>
        <v/>
      </c>
      <c r="DI30" s="156" t="str">
        <f t="shared" si="55"/>
        <v/>
      </c>
      <c r="DJ30" s="176" t="str">
        <f t="shared" si="56"/>
        <v/>
      </c>
      <c r="DK30" s="156" t="str">
        <f t="shared" si="57"/>
        <v/>
      </c>
      <c r="DL30" s="175" t="str">
        <f t="shared" si="58"/>
        <v/>
      </c>
      <c r="DM30" s="156" t="str">
        <f t="shared" si="59"/>
        <v/>
      </c>
      <c r="DN30" s="176" t="str">
        <f t="shared" si="60"/>
        <v/>
      </c>
      <c r="DO30" s="156" t="str">
        <f t="shared" si="61"/>
        <v/>
      </c>
      <c r="DP30" s="175" t="str">
        <f t="shared" si="62"/>
        <v/>
      </c>
      <c r="DQ30" s="156" t="str">
        <f t="shared" si="63"/>
        <v/>
      </c>
      <c r="DR30" s="156" t="str">
        <f t="shared" si="64"/>
        <v/>
      </c>
      <c r="DS30" s="156" t="str">
        <f t="shared" si="65"/>
        <v/>
      </c>
      <c r="DT30" s="175" t="str">
        <f t="shared" si="66"/>
        <v/>
      </c>
      <c r="DU30" s="156" t="str">
        <f t="shared" si="67"/>
        <v/>
      </c>
      <c r="DV30" s="156" t="str">
        <f t="shared" si="68"/>
        <v/>
      </c>
      <c r="DW30" s="156" t="str">
        <f t="shared" si="69"/>
        <v/>
      </c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</row>
    <row r="31" spans="1:176" s="87" customFormat="1" ht="12.75" customHeight="1" thickBot="1" x14ac:dyDescent="0.2">
      <c r="A31" s="53"/>
      <c r="B31" s="229">
        <f t="shared" si="93"/>
        <v>15</v>
      </c>
      <c r="C31" s="66"/>
      <c r="D31" s="60"/>
      <c r="E31" s="61"/>
      <c r="F31" s="312"/>
      <c r="G31" s="313"/>
      <c r="H31" s="62"/>
      <c r="I31" s="62"/>
      <c r="J31" s="62"/>
      <c r="K31" s="62"/>
      <c r="L31" s="271"/>
      <c r="M31" s="93"/>
      <c r="N31" s="94"/>
      <c r="O31" s="93"/>
      <c r="P31" s="95"/>
      <c r="Q31" s="233"/>
      <c r="R31" s="233"/>
      <c r="S31" s="280" t="str">
        <f t="shared" si="70"/>
        <v/>
      </c>
      <c r="T31" s="278" t="str">
        <f t="shared" si="71"/>
        <v/>
      </c>
      <c r="U31" s="235" t="str">
        <f t="shared" si="72"/>
        <v/>
      </c>
      <c r="V31" s="63" t="str">
        <f t="shared" si="73"/>
        <v/>
      </c>
      <c r="W31" s="64" t="str">
        <f t="shared" si="0"/>
        <v/>
      </c>
      <c r="X31" s="65" t="str">
        <f t="shared" si="1"/>
        <v/>
      </c>
      <c r="Y31" s="284"/>
      <c r="Z31" s="285" t="e">
        <f t="shared" si="74"/>
        <v>#VALUE!</v>
      </c>
      <c r="AA31" s="53"/>
      <c r="AB31" s="41"/>
      <c r="AC31" s="41"/>
      <c r="AD31" s="41"/>
      <c r="AE31" s="41"/>
      <c r="AF31" s="96" t="str">
        <f t="shared" si="2"/>
        <v/>
      </c>
      <c r="AG31" s="96" t="str">
        <f t="shared" si="3"/>
        <v/>
      </c>
      <c r="AH31" s="96" t="str">
        <f t="shared" si="4"/>
        <v/>
      </c>
      <c r="AI31" s="96"/>
      <c r="AJ31" s="168"/>
      <c r="AK31" s="192">
        <f t="shared" si="94"/>
        <v>15</v>
      </c>
      <c r="AL31" s="174" t="str">
        <f t="shared" si="5"/>
        <v/>
      </c>
      <c r="AM31" s="155">
        <f t="shared" si="6"/>
        <v>15</v>
      </c>
      <c r="AN31" s="175" t="str">
        <f t="shared" si="7"/>
        <v/>
      </c>
      <c r="AO31" s="156" t="str">
        <f t="shared" si="8"/>
        <v/>
      </c>
      <c r="AP31" s="176" t="str">
        <f t="shared" si="75"/>
        <v/>
      </c>
      <c r="AQ31" s="216" t="str">
        <f t="shared" si="76"/>
        <v/>
      </c>
      <c r="AR31" s="178" t="str">
        <f t="shared" si="9"/>
        <v/>
      </c>
      <c r="AS31" s="156" t="str">
        <f t="shared" si="10"/>
        <v/>
      </c>
      <c r="AT31" s="156" t="str">
        <f t="shared" si="77"/>
        <v/>
      </c>
      <c r="AU31" s="175" t="str">
        <f t="shared" si="11"/>
        <v/>
      </c>
      <c r="AV31" s="156" t="str">
        <f t="shared" si="12"/>
        <v/>
      </c>
      <c r="AW31" s="176" t="str">
        <f t="shared" si="78"/>
        <v/>
      </c>
      <c r="AX31" s="216" t="str">
        <f t="shared" si="79"/>
        <v/>
      </c>
      <c r="AY31" s="156" t="str">
        <f t="shared" si="13"/>
        <v/>
      </c>
      <c r="AZ31" s="156" t="str">
        <f t="shared" si="80"/>
        <v/>
      </c>
      <c r="BA31" s="156" t="str">
        <f t="shared" si="81"/>
        <v/>
      </c>
      <c r="BB31" s="175" t="str">
        <f t="shared" si="14"/>
        <v/>
      </c>
      <c r="BC31" s="156" t="str">
        <f t="shared" si="15"/>
        <v/>
      </c>
      <c r="BD31" s="216" t="str">
        <f t="shared" si="16"/>
        <v/>
      </c>
      <c r="BE31" s="216" t="str">
        <f t="shared" si="17"/>
        <v/>
      </c>
      <c r="BF31" s="156" t="str">
        <f t="shared" si="18"/>
        <v/>
      </c>
      <c r="BG31" s="156" t="str">
        <f t="shared" ref="BG31:BG46" si="96">IF(BC31="","",(((1/$J$67)*(LN(($J$66/(BD31+$J$68)))))*62.4)-(BH31/20))</f>
        <v/>
      </c>
      <c r="BH31" s="156" t="e">
        <f t="shared" si="83"/>
        <v>#VALUE!</v>
      </c>
      <c r="BI31" s="175" t="str">
        <f t="shared" si="19"/>
        <v/>
      </c>
      <c r="BJ31" s="156" t="str">
        <f t="shared" si="20"/>
        <v/>
      </c>
      <c r="BK31" s="176" t="str">
        <f t="shared" si="21"/>
        <v/>
      </c>
      <c r="BL31" s="156" t="str">
        <f t="shared" si="22"/>
        <v/>
      </c>
      <c r="BM31" s="175" t="str">
        <f t="shared" si="23"/>
        <v/>
      </c>
      <c r="BN31" s="156" t="str">
        <f t="shared" si="24"/>
        <v/>
      </c>
      <c r="BO31" s="176" t="str">
        <f t="shared" si="25"/>
        <v/>
      </c>
      <c r="BP31" s="156" t="str">
        <f t="shared" si="26"/>
        <v/>
      </c>
      <c r="BQ31" s="156"/>
      <c r="BR31" s="179"/>
      <c r="BS31" s="155"/>
      <c r="BT31" s="174" t="str">
        <f t="shared" si="27"/>
        <v/>
      </c>
      <c r="BU31" s="155">
        <f t="shared" si="28"/>
        <v>15</v>
      </c>
      <c r="BV31" s="175" t="str">
        <f t="shared" si="29"/>
        <v/>
      </c>
      <c r="BW31" s="156" t="str">
        <f t="shared" si="30"/>
        <v/>
      </c>
      <c r="BX31" s="176" t="str">
        <f t="shared" si="84"/>
        <v/>
      </c>
      <c r="BY31" s="216" t="str">
        <f t="shared" si="85"/>
        <v/>
      </c>
      <c r="BZ31" s="156" t="str">
        <f t="shared" si="31"/>
        <v/>
      </c>
      <c r="CA31" s="156" t="str">
        <f t="shared" si="86"/>
        <v/>
      </c>
      <c r="CB31" s="177" t="str">
        <f t="shared" si="32"/>
        <v/>
      </c>
      <c r="CC31" s="175" t="str">
        <f t="shared" si="33"/>
        <v/>
      </c>
      <c r="CD31" s="156" t="str">
        <f t="shared" si="34"/>
        <v/>
      </c>
      <c r="CE31" s="176" t="str">
        <f t="shared" si="87"/>
        <v/>
      </c>
      <c r="CF31" s="216" t="str">
        <f t="shared" si="88"/>
        <v/>
      </c>
      <c r="CG31" s="156" t="str">
        <f t="shared" si="35"/>
        <v/>
      </c>
      <c r="CH31" s="156" t="str">
        <f t="shared" si="89"/>
        <v/>
      </c>
      <c r="CI31" s="156" t="str">
        <f t="shared" si="90"/>
        <v/>
      </c>
      <c r="CJ31" s="175" t="str">
        <f t="shared" si="36"/>
        <v/>
      </c>
      <c r="CK31" s="156" t="str">
        <f t="shared" si="37"/>
        <v/>
      </c>
      <c r="CL31" s="176" t="str">
        <f t="shared" si="38"/>
        <v/>
      </c>
      <c r="CM31" s="216" t="str">
        <f t="shared" si="91"/>
        <v/>
      </c>
      <c r="CN31" s="156" t="str">
        <f t="shared" si="39"/>
        <v/>
      </c>
      <c r="CO31" s="156" t="str">
        <f t="shared" si="40"/>
        <v/>
      </c>
      <c r="CP31" s="156" t="str">
        <f t="shared" si="92"/>
        <v/>
      </c>
      <c r="CQ31" s="175" t="str">
        <f t="shared" si="41"/>
        <v/>
      </c>
      <c r="CR31" s="156" t="str">
        <f t="shared" si="42"/>
        <v/>
      </c>
      <c r="CS31" s="156" t="str">
        <f t="shared" si="43"/>
        <v/>
      </c>
      <c r="CT31" s="156" t="str">
        <f t="shared" si="44"/>
        <v/>
      </c>
      <c r="CU31" s="175" t="str">
        <f t="shared" si="45"/>
        <v/>
      </c>
      <c r="CV31" s="156" t="str">
        <f t="shared" si="46"/>
        <v/>
      </c>
      <c r="CW31" s="156" t="str">
        <f t="shared" si="47"/>
        <v/>
      </c>
      <c r="CX31" s="156" t="str">
        <f t="shared" si="48"/>
        <v/>
      </c>
      <c r="CY31" s="156"/>
      <c r="CZ31" s="179"/>
      <c r="DA31" s="155"/>
      <c r="DB31" s="174" t="str">
        <f t="shared" si="49"/>
        <v/>
      </c>
      <c r="DC31" s="155">
        <f t="shared" si="95"/>
        <v>15</v>
      </c>
      <c r="DD31" s="175" t="str">
        <f t="shared" si="50"/>
        <v/>
      </c>
      <c r="DE31" s="156" t="str">
        <f t="shared" si="51"/>
        <v/>
      </c>
      <c r="DF31" s="178" t="str">
        <f t="shared" si="52"/>
        <v/>
      </c>
      <c r="DG31" s="177" t="str">
        <f t="shared" si="53"/>
        <v/>
      </c>
      <c r="DH31" s="175" t="str">
        <f t="shared" si="54"/>
        <v/>
      </c>
      <c r="DI31" s="156" t="str">
        <f t="shared" si="55"/>
        <v/>
      </c>
      <c r="DJ31" s="176" t="str">
        <f t="shared" si="56"/>
        <v/>
      </c>
      <c r="DK31" s="156" t="str">
        <f t="shared" si="57"/>
        <v/>
      </c>
      <c r="DL31" s="175" t="str">
        <f t="shared" si="58"/>
        <v/>
      </c>
      <c r="DM31" s="156" t="str">
        <f t="shared" si="59"/>
        <v/>
      </c>
      <c r="DN31" s="176" t="str">
        <f t="shared" si="60"/>
        <v/>
      </c>
      <c r="DO31" s="156" t="str">
        <f t="shared" si="61"/>
        <v/>
      </c>
      <c r="DP31" s="175" t="str">
        <f t="shared" si="62"/>
        <v/>
      </c>
      <c r="DQ31" s="156" t="str">
        <f t="shared" si="63"/>
        <v/>
      </c>
      <c r="DR31" s="156" t="str">
        <f t="shared" si="64"/>
        <v/>
      </c>
      <c r="DS31" s="156" t="str">
        <f t="shared" si="65"/>
        <v/>
      </c>
      <c r="DT31" s="175" t="str">
        <f t="shared" si="66"/>
        <v/>
      </c>
      <c r="DU31" s="156" t="str">
        <f t="shared" si="67"/>
        <v/>
      </c>
      <c r="DV31" s="156" t="str">
        <f t="shared" si="68"/>
        <v/>
      </c>
      <c r="DW31" s="156" t="str">
        <f t="shared" si="69"/>
        <v/>
      </c>
      <c r="DX31" s="81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</row>
    <row r="32" spans="1:176" ht="12.75" customHeight="1" thickTop="1" x14ac:dyDescent="0.15">
      <c r="B32" s="229">
        <f t="shared" si="93"/>
        <v>16</v>
      </c>
      <c r="C32" s="59"/>
      <c r="D32" s="60"/>
      <c r="E32" s="61"/>
      <c r="F32" s="312"/>
      <c r="G32" s="313"/>
      <c r="H32" s="62"/>
      <c r="I32" s="62"/>
      <c r="J32" s="62"/>
      <c r="K32" s="62"/>
      <c r="L32" s="271"/>
      <c r="M32" s="93"/>
      <c r="N32" s="94"/>
      <c r="O32" s="93"/>
      <c r="P32" s="95"/>
      <c r="Q32" s="233"/>
      <c r="R32" s="233"/>
      <c r="S32" s="280" t="str">
        <f t="shared" si="70"/>
        <v/>
      </c>
      <c r="T32" s="278" t="str">
        <f t="shared" si="71"/>
        <v/>
      </c>
      <c r="U32" s="235" t="str">
        <f t="shared" si="72"/>
        <v/>
      </c>
      <c r="V32" s="63" t="str">
        <f t="shared" si="73"/>
        <v/>
      </c>
      <c r="W32" s="64" t="str">
        <f t="shared" si="0"/>
        <v/>
      </c>
      <c r="X32" s="65" t="str">
        <f t="shared" si="1"/>
        <v/>
      </c>
      <c r="Y32" s="284"/>
      <c r="Z32" s="285" t="e">
        <f t="shared" si="74"/>
        <v>#VALUE!</v>
      </c>
      <c r="AA32" s="53"/>
      <c r="AB32" s="41"/>
      <c r="AC32" s="41"/>
      <c r="AD32" s="41"/>
      <c r="AE32" s="41"/>
      <c r="AF32" s="96" t="str">
        <f t="shared" si="2"/>
        <v/>
      </c>
      <c r="AG32" s="96" t="str">
        <f t="shared" si="3"/>
        <v/>
      </c>
      <c r="AH32" s="96" t="str">
        <f t="shared" si="4"/>
        <v/>
      </c>
      <c r="AI32" s="96"/>
      <c r="AJ32" s="168"/>
      <c r="AK32" s="192">
        <f t="shared" si="94"/>
        <v>16</v>
      </c>
      <c r="AL32" s="174" t="str">
        <f t="shared" si="5"/>
        <v/>
      </c>
      <c r="AM32" s="155">
        <f t="shared" si="6"/>
        <v>16</v>
      </c>
      <c r="AN32" s="175" t="str">
        <f t="shared" si="7"/>
        <v/>
      </c>
      <c r="AO32" s="156" t="str">
        <f t="shared" si="8"/>
        <v/>
      </c>
      <c r="AP32" s="176" t="str">
        <f t="shared" si="75"/>
        <v/>
      </c>
      <c r="AQ32" s="216" t="str">
        <f t="shared" si="76"/>
        <v/>
      </c>
      <c r="AR32" s="178" t="str">
        <f t="shared" si="9"/>
        <v/>
      </c>
      <c r="AS32" s="156" t="str">
        <f t="shared" si="10"/>
        <v/>
      </c>
      <c r="AT32" s="156" t="str">
        <f t="shared" si="77"/>
        <v/>
      </c>
      <c r="AU32" s="175" t="str">
        <f t="shared" si="11"/>
        <v/>
      </c>
      <c r="AV32" s="156" t="str">
        <f t="shared" si="12"/>
        <v/>
      </c>
      <c r="AW32" s="176" t="str">
        <f t="shared" si="78"/>
        <v/>
      </c>
      <c r="AX32" s="216" t="str">
        <f t="shared" si="79"/>
        <v/>
      </c>
      <c r="AY32" s="156" t="str">
        <f t="shared" si="13"/>
        <v/>
      </c>
      <c r="AZ32" s="156" t="str">
        <f t="shared" si="80"/>
        <v/>
      </c>
      <c r="BA32" s="156" t="str">
        <f t="shared" si="81"/>
        <v/>
      </c>
      <c r="BB32" s="175" t="str">
        <f t="shared" si="14"/>
        <v/>
      </c>
      <c r="BC32" s="156" t="str">
        <f t="shared" si="15"/>
        <v/>
      </c>
      <c r="BD32" s="216" t="str">
        <f t="shared" si="16"/>
        <v/>
      </c>
      <c r="BE32" s="216" t="str">
        <f t="shared" si="17"/>
        <v/>
      </c>
      <c r="BF32" s="156" t="str">
        <f t="shared" si="18"/>
        <v/>
      </c>
      <c r="BG32" s="156" t="str">
        <f t="shared" si="96"/>
        <v/>
      </c>
      <c r="BH32" s="156" t="e">
        <f t="shared" si="83"/>
        <v>#VALUE!</v>
      </c>
      <c r="BI32" s="175" t="str">
        <f t="shared" si="19"/>
        <v/>
      </c>
      <c r="BJ32" s="156" t="str">
        <f t="shared" si="20"/>
        <v/>
      </c>
      <c r="BK32" s="176" t="str">
        <f t="shared" si="21"/>
        <v/>
      </c>
      <c r="BL32" s="156" t="str">
        <f t="shared" si="22"/>
        <v/>
      </c>
      <c r="BM32" s="175" t="str">
        <f t="shared" si="23"/>
        <v/>
      </c>
      <c r="BN32" s="156" t="str">
        <f t="shared" si="24"/>
        <v/>
      </c>
      <c r="BO32" s="176" t="str">
        <f t="shared" si="25"/>
        <v/>
      </c>
      <c r="BP32" s="156" t="str">
        <f t="shared" si="26"/>
        <v/>
      </c>
      <c r="BQ32" s="156"/>
      <c r="BR32" s="179"/>
      <c r="BS32" s="155"/>
      <c r="BT32" s="174" t="str">
        <f t="shared" si="27"/>
        <v/>
      </c>
      <c r="BU32" s="155">
        <f t="shared" si="28"/>
        <v>16</v>
      </c>
      <c r="BV32" s="175" t="str">
        <f t="shared" si="29"/>
        <v/>
      </c>
      <c r="BW32" s="156" t="str">
        <f t="shared" si="30"/>
        <v/>
      </c>
      <c r="BX32" s="176" t="str">
        <f t="shared" si="84"/>
        <v/>
      </c>
      <c r="BY32" s="216" t="str">
        <f t="shared" si="85"/>
        <v/>
      </c>
      <c r="BZ32" s="156" t="str">
        <f t="shared" si="31"/>
        <v/>
      </c>
      <c r="CA32" s="156" t="str">
        <f t="shared" si="86"/>
        <v/>
      </c>
      <c r="CB32" s="177" t="str">
        <f t="shared" si="32"/>
        <v/>
      </c>
      <c r="CC32" s="175" t="str">
        <f t="shared" si="33"/>
        <v/>
      </c>
      <c r="CD32" s="156" t="str">
        <f t="shared" si="34"/>
        <v/>
      </c>
      <c r="CE32" s="176" t="str">
        <f t="shared" si="87"/>
        <v/>
      </c>
      <c r="CF32" s="216" t="str">
        <f t="shared" si="88"/>
        <v/>
      </c>
      <c r="CG32" s="156" t="str">
        <f t="shared" si="35"/>
        <v/>
      </c>
      <c r="CH32" s="156" t="str">
        <f t="shared" si="89"/>
        <v/>
      </c>
      <c r="CI32" s="156" t="str">
        <f t="shared" si="90"/>
        <v/>
      </c>
      <c r="CJ32" s="175" t="str">
        <f t="shared" si="36"/>
        <v/>
      </c>
      <c r="CK32" s="156" t="str">
        <f t="shared" si="37"/>
        <v/>
      </c>
      <c r="CL32" s="176" t="str">
        <f t="shared" si="38"/>
        <v/>
      </c>
      <c r="CM32" s="216" t="str">
        <f t="shared" si="91"/>
        <v/>
      </c>
      <c r="CN32" s="156" t="str">
        <f t="shared" si="39"/>
        <v/>
      </c>
      <c r="CO32" s="156" t="str">
        <f t="shared" si="40"/>
        <v/>
      </c>
      <c r="CP32" s="156" t="str">
        <f t="shared" si="92"/>
        <v/>
      </c>
      <c r="CQ32" s="175" t="str">
        <f t="shared" si="41"/>
        <v/>
      </c>
      <c r="CR32" s="156" t="str">
        <f t="shared" si="42"/>
        <v/>
      </c>
      <c r="CS32" s="156" t="str">
        <f t="shared" si="43"/>
        <v/>
      </c>
      <c r="CT32" s="156" t="str">
        <f t="shared" si="44"/>
        <v/>
      </c>
      <c r="CU32" s="175" t="str">
        <f t="shared" si="45"/>
        <v/>
      </c>
      <c r="CV32" s="156" t="str">
        <f t="shared" si="46"/>
        <v/>
      </c>
      <c r="CW32" s="156" t="str">
        <f t="shared" si="47"/>
        <v/>
      </c>
      <c r="CX32" s="156" t="str">
        <f t="shared" si="48"/>
        <v/>
      </c>
      <c r="CY32" s="156"/>
      <c r="CZ32" s="179"/>
      <c r="DA32" s="155"/>
      <c r="DB32" s="174" t="str">
        <f t="shared" si="49"/>
        <v/>
      </c>
      <c r="DC32" s="155">
        <f t="shared" si="95"/>
        <v>16</v>
      </c>
      <c r="DD32" s="175" t="str">
        <f t="shared" si="50"/>
        <v/>
      </c>
      <c r="DE32" s="156" t="str">
        <f t="shared" si="51"/>
        <v/>
      </c>
      <c r="DF32" s="178" t="str">
        <f t="shared" si="52"/>
        <v/>
      </c>
      <c r="DG32" s="177" t="str">
        <f t="shared" si="53"/>
        <v/>
      </c>
      <c r="DH32" s="175" t="str">
        <f t="shared" si="54"/>
        <v/>
      </c>
      <c r="DI32" s="156" t="str">
        <f t="shared" si="55"/>
        <v/>
      </c>
      <c r="DJ32" s="176" t="str">
        <f t="shared" si="56"/>
        <v/>
      </c>
      <c r="DK32" s="156" t="str">
        <f t="shared" si="57"/>
        <v/>
      </c>
      <c r="DL32" s="175" t="str">
        <f t="shared" si="58"/>
        <v/>
      </c>
      <c r="DM32" s="156" t="str">
        <f t="shared" si="59"/>
        <v/>
      </c>
      <c r="DN32" s="176" t="str">
        <f t="shared" si="60"/>
        <v/>
      </c>
      <c r="DO32" s="156" t="str">
        <f t="shared" si="61"/>
        <v/>
      </c>
      <c r="DP32" s="175" t="str">
        <f t="shared" si="62"/>
        <v/>
      </c>
      <c r="DQ32" s="156" t="str">
        <f t="shared" si="63"/>
        <v/>
      </c>
      <c r="DR32" s="156" t="str">
        <f t="shared" si="64"/>
        <v/>
      </c>
      <c r="DS32" s="156" t="str">
        <f t="shared" si="65"/>
        <v/>
      </c>
      <c r="DT32" s="175" t="str">
        <f t="shared" si="66"/>
        <v/>
      </c>
      <c r="DU32" s="156" t="str">
        <f t="shared" si="67"/>
        <v/>
      </c>
      <c r="DV32" s="156" t="str">
        <f t="shared" si="68"/>
        <v/>
      </c>
      <c r="DW32" s="156" t="str">
        <f t="shared" si="69"/>
        <v/>
      </c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</row>
    <row r="33" spans="1:176" ht="12.75" customHeight="1" x14ac:dyDescent="0.15">
      <c r="B33" s="229">
        <f t="shared" si="93"/>
        <v>17</v>
      </c>
      <c r="C33" s="59"/>
      <c r="D33" s="60"/>
      <c r="E33" s="61"/>
      <c r="F33" s="312"/>
      <c r="G33" s="313"/>
      <c r="H33" s="62"/>
      <c r="I33" s="62"/>
      <c r="J33" s="62"/>
      <c r="K33" s="62"/>
      <c r="L33" s="271"/>
      <c r="M33" s="93"/>
      <c r="N33" s="94"/>
      <c r="O33" s="93"/>
      <c r="P33" s="95"/>
      <c r="Q33" s="233"/>
      <c r="R33" s="233"/>
      <c r="S33" s="280" t="str">
        <f t="shared" si="70"/>
        <v/>
      </c>
      <c r="T33" s="278" t="str">
        <f t="shared" si="71"/>
        <v/>
      </c>
      <c r="U33" s="235" t="str">
        <f t="shared" si="72"/>
        <v/>
      </c>
      <c r="V33" s="63" t="str">
        <f t="shared" si="73"/>
        <v/>
      </c>
      <c r="W33" s="64" t="str">
        <f t="shared" si="0"/>
        <v/>
      </c>
      <c r="X33" s="65" t="str">
        <f t="shared" si="1"/>
        <v/>
      </c>
      <c r="Y33" s="284"/>
      <c r="Z33" s="285" t="e">
        <f t="shared" si="74"/>
        <v>#VALUE!</v>
      </c>
      <c r="AA33" s="53"/>
      <c r="AB33" s="41"/>
      <c r="AC33" s="41"/>
      <c r="AD33" s="41"/>
      <c r="AE33" s="41"/>
      <c r="AF33" s="96" t="str">
        <f t="shared" si="2"/>
        <v/>
      </c>
      <c r="AG33" s="96" t="str">
        <f t="shared" si="3"/>
        <v/>
      </c>
      <c r="AH33" s="96" t="str">
        <f t="shared" si="4"/>
        <v/>
      </c>
      <c r="AI33" s="96"/>
      <c r="AJ33" s="168"/>
      <c r="AK33" s="192">
        <f t="shared" si="94"/>
        <v>17</v>
      </c>
      <c r="AL33" s="174" t="str">
        <f t="shared" si="5"/>
        <v/>
      </c>
      <c r="AM33" s="155">
        <f t="shared" si="6"/>
        <v>17</v>
      </c>
      <c r="AN33" s="175" t="str">
        <f t="shared" si="7"/>
        <v/>
      </c>
      <c r="AO33" s="156" t="str">
        <f t="shared" si="8"/>
        <v/>
      </c>
      <c r="AP33" s="176" t="str">
        <f t="shared" si="75"/>
        <v/>
      </c>
      <c r="AQ33" s="216" t="str">
        <f t="shared" si="76"/>
        <v/>
      </c>
      <c r="AR33" s="178" t="str">
        <f t="shared" si="9"/>
        <v/>
      </c>
      <c r="AS33" s="156" t="str">
        <f t="shared" si="10"/>
        <v/>
      </c>
      <c r="AT33" s="156" t="str">
        <f t="shared" si="77"/>
        <v/>
      </c>
      <c r="AU33" s="175" t="str">
        <f t="shared" si="11"/>
        <v/>
      </c>
      <c r="AV33" s="156" t="str">
        <f t="shared" si="12"/>
        <v/>
      </c>
      <c r="AW33" s="176" t="str">
        <f t="shared" si="78"/>
        <v/>
      </c>
      <c r="AX33" s="216" t="str">
        <f t="shared" si="79"/>
        <v/>
      </c>
      <c r="AY33" s="156" t="str">
        <f t="shared" si="13"/>
        <v/>
      </c>
      <c r="AZ33" s="156" t="str">
        <f t="shared" si="80"/>
        <v/>
      </c>
      <c r="BA33" s="156" t="str">
        <f t="shared" si="81"/>
        <v/>
      </c>
      <c r="BB33" s="175" t="str">
        <f t="shared" si="14"/>
        <v/>
      </c>
      <c r="BC33" s="156" t="str">
        <f t="shared" si="15"/>
        <v/>
      </c>
      <c r="BD33" s="216" t="str">
        <f t="shared" si="16"/>
        <v/>
      </c>
      <c r="BE33" s="216" t="str">
        <f t="shared" si="17"/>
        <v/>
      </c>
      <c r="BF33" s="156" t="str">
        <f t="shared" si="18"/>
        <v/>
      </c>
      <c r="BG33" s="156" t="str">
        <f t="shared" si="96"/>
        <v/>
      </c>
      <c r="BH33" s="156" t="e">
        <f t="shared" si="83"/>
        <v>#VALUE!</v>
      </c>
      <c r="BI33" s="175" t="str">
        <f t="shared" si="19"/>
        <v/>
      </c>
      <c r="BJ33" s="156" t="str">
        <f t="shared" si="20"/>
        <v/>
      </c>
      <c r="BK33" s="176" t="str">
        <f t="shared" si="21"/>
        <v/>
      </c>
      <c r="BL33" s="156" t="str">
        <f t="shared" si="22"/>
        <v/>
      </c>
      <c r="BM33" s="175" t="str">
        <f t="shared" si="23"/>
        <v/>
      </c>
      <c r="BN33" s="156" t="str">
        <f t="shared" si="24"/>
        <v/>
      </c>
      <c r="BO33" s="176" t="str">
        <f t="shared" si="25"/>
        <v/>
      </c>
      <c r="BP33" s="156" t="str">
        <f t="shared" si="26"/>
        <v/>
      </c>
      <c r="BQ33" s="156"/>
      <c r="BR33" s="179"/>
      <c r="BS33" s="155"/>
      <c r="BT33" s="174" t="str">
        <f t="shared" si="27"/>
        <v/>
      </c>
      <c r="BU33" s="155">
        <f t="shared" si="28"/>
        <v>17</v>
      </c>
      <c r="BV33" s="175" t="str">
        <f t="shared" si="29"/>
        <v/>
      </c>
      <c r="BW33" s="156" t="str">
        <f t="shared" si="30"/>
        <v/>
      </c>
      <c r="BX33" s="176" t="str">
        <f t="shared" si="84"/>
        <v/>
      </c>
      <c r="BY33" s="216" t="str">
        <f t="shared" si="85"/>
        <v/>
      </c>
      <c r="BZ33" s="156" t="str">
        <f t="shared" si="31"/>
        <v/>
      </c>
      <c r="CA33" s="156" t="str">
        <f t="shared" si="86"/>
        <v/>
      </c>
      <c r="CB33" s="177" t="str">
        <f t="shared" si="32"/>
        <v/>
      </c>
      <c r="CC33" s="175" t="str">
        <f t="shared" si="33"/>
        <v/>
      </c>
      <c r="CD33" s="156" t="str">
        <f t="shared" si="34"/>
        <v/>
      </c>
      <c r="CE33" s="176" t="str">
        <f t="shared" si="87"/>
        <v/>
      </c>
      <c r="CF33" s="216" t="str">
        <f t="shared" si="88"/>
        <v/>
      </c>
      <c r="CG33" s="156" t="str">
        <f t="shared" si="35"/>
        <v/>
      </c>
      <c r="CH33" s="156" t="str">
        <f t="shared" si="89"/>
        <v/>
      </c>
      <c r="CI33" s="156" t="str">
        <f t="shared" si="90"/>
        <v/>
      </c>
      <c r="CJ33" s="175" t="str">
        <f t="shared" si="36"/>
        <v/>
      </c>
      <c r="CK33" s="156" t="str">
        <f t="shared" si="37"/>
        <v/>
      </c>
      <c r="CL33" s="176" t="str">
        <f t="shared" si="38"/>
        <v/>
      </c>
      <c r="CM33" s="216" t="str">
        <f t="shared" si="91"/>
        <v/>
      </c>
      <c r="CN33" s="156" t="str">
        <f t="shared" si="39"/>
        <v/>
      </c>
      <c r="CO33" s="156" t="str">
        <f t="shared" si="40"/>
        <v/>
      </c>
      <c r="CP33" s="156" t="str">
        <f t="shared" si="92"/>
        <v/>
      </c>
      <c r="CQ33" s="175" t="str">
        <f t="shared" si="41"/>
        <v/>
      </c>
      <c r="CR33" s="156" t="str">
        <f t="shared" si="42"/>
        <v/>
      </c>
      <c r="CS33" s="156" t="str">
        <f t="shared" si="43"/>
        <v/>
      </c>
      <c r="CT33" s="156" t="str">
        <f t="shared" si="44"/>
        <v/>
      </c>
      <c r="CU33" s="175" t="str">
        <f t="shared" si="45"/>
        <v/>
      </c>
      <c r="CV33" s="156" t="str">
        <f t="shared" si="46"/>
        <v/>
      </c>
      <c r="CW33" s="156" t="str">
        <f t="shared" si="47"/>
        <v/>
      </c>
      <c r="CX33" s="156" t="str">
        <f t="shared" si="48"/>
        <v/>
      </c>
      <c r="CY33" s="156"/>
      <c r="CZ33" s="179"/>
      <c r="DA33" s="155"/>
      <c r="DB33" s="174" t="str">
        <f t="shared" si="49"/>
        <v/>
      </c>
      <c r="DC33" s="155">
        <f t="shared" si="95"/>
        <v>17</v>
      </c>
      <c r="DD33" s="175" t="str">
        <f t="shared" si="50"/>
        <v/>
      </c>
      <c r="DE33" s="156" t="str">
        <f t="shared" si="51"/>
        <v/>
      </c>
      <c r="DF33" s="178" t="str">
        <f t="shared" si="52"/>
        <v/>
      </c>
      <c r="DG33" s="177" t="str">
        <f t="shared" si="53"/>
        <v/>
      </c>
      <c r="DH33" s="175" t="str">
        <f t="shared" si="54"/>
        <v/>
      </c>
      <c r="DI33" s="156" t="str">
        <f t="shared" si="55"/>
        <v/>
      </c>
      <c r="DJ33" s="176" t="str">
        <f t="shared" si="56"/>
        <v/>
      </c>
      <c r="DK33" s="156" t="str">
        <f t="shared" si="57"/>
        <v/>
      </c>
      <c r="DL33" s="175" t="str">
        <f t="shared" si="58"/>
        <v/>
      </c>
      <c r="DM33" s="156" t="str">
        <f t="shared" si="59"/>
        <v/>
      </c>
      <c r="DN33" s="176" t="str">
        <f t="shared" si="60"/>
        <v/>
      </c>
      <c r="DO33" s="156" t="str">
        <f t="shared" si="61"/>
        <v/>
      </c>
      <c r="DP33" s="175" t="str">
        <f t="shared" si="62"/>
        <v/>
      </c>
      <c r="DQ33" s="156" t="str">
        <f t="shared" si="63"/>
        <v/>
      </c>
      <c r="DR33" s="156" t="str">
        <f t="shared" si="64"/>
        <v/>
      </c>
      <c r="DS33" s="156" t="str">
        <f t="shared" si="65"/>
        <v/>
      </c>
      <c r="DT33" s="175" t="str">
        <f t="shared" si="66"/>
        <v/>
      </c>
      <c r="DU33" s="156" t="str">
        <f t="shared" si="67"/>
        <v/>
      </c>
      <c r="DV33" s="156" t="str">
        <f t="shared" si="68"/>
        <v/>
      </c>
      <c r="DW33" s="156" t="str">
        <f t="shared" si="69"/>
        <v/>
      </c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</row>
    <row r="34" spans="1:176" s="87" customFormat="1" ht="12.75" customHeight="1" thickBot="1" x14ac:dyDescent="0.2">
      <c r="A34" s="53"/>
      <c r="B34" s="229">
        <f t="shared" si="93"/>
        <v>18</v>
      </c>
      <c r="C34" s="66"/>
      <c r="D34" s="60"/>
      <c r="E34" s="61"/>
      <c r="F34" s="312"/>
      <c r="G34" s="313"/>
      <c r="H34" s="62"/>
      <c r="I34" s="62"/>
      <c r="J34" s="62"/>
      <c r="K34" s="62"/>
      <c r="L34" s="271"/>
      <c r="M34" s="93"/>
      <c r="N34" s="94"/>
      <c r="O34" s="93"/>
      <c r="P34" s="95"/>
      <c r="Q34" s="233"/>
      <c r="R34" s="233"/>
      <c r="S34" s="280" t="str">
        <f t="shared" si="70"/>
        <v/>
      </c>
      <c r="T34" s="278" t="str">
        <f t="shared" si="71"/>
        <v/>
      </c>
      <c r="U34" s="235" t="str">
        <f t="shared" si="72"/>
        <v/>
      </c>
      <c r="V34" s="63" t="str">
        <f t="shared" si="73"/>
        <v/>
      </c>
      <c r="W34" s="64" t="str">
        <f t="shared" si="0"/>
        <v/>
      </c>
      <c r="X34" s="65" t="str">
        <f t="shared" si="1"/>
        <v/>
      </c>
      <c r="Y34" s="284"/>
      <c r="Z34" s="285" t="e">
        <f t="shared" si="74"/>
        <v>#VALUE!</v>
      </c>
      <c r="AA34" s="53"/>
      <c r="AB34" s="41"/>
      <c r="AC34" s="41"/>
      <c r="AD34" s="41"/>
      <c r="AE34" s="41"/>
      <c r="AF34" s="96" t="str">
        <f t="shared" si="2"/>
        <v/>
      </c>
      <c r="AG34" s="96" t="str">
        <f t="shared" si="3"/>
        <v/>
      </c>
      <c r="AH34" s="96" t="str">
        <f t="shared" si="4"/>
        <v/>
      </c>
      <c r="AI34" s="96"/>
      <c r="AJ34" s="168"/>
      <c r="AK34" s="192">
        <f t="shared" si="94"/>
        <v>18</v>
      </c>
      <c r="AL34" s="174" t="str">
        <f t="shared" si="5"/>
        <v/>
      </c>
      <c r="AM34" s="155">
        <f t="shared" si="6"/>
        <v>18</v>
      </c>
      <c r="AN34" s="175" t="str">
        <f t="shared" si="7"/>
        <v/>
      </c>
      <c r="AO34" s="156" t="str">
        <f t="shared" si="8"/>
        <v/>
      </c>
      <c r="AP34" s="176" t="str">
        <f t="shared" si="75"/>
        <v/>
      </c>
      <c r="AQ34" s="216" t="str">
        <f t="shared" si="76"/>
        <v/>
      </c>
      <c r="AR34" s="178" t="str">
        <f t="shared" si="9"/>
        <v/>
      </c>
      <c r="AS34" s="156" t="str">
        <f t="shared" si="10"/>
        <v/>
      </c>
      <c r="AT34" s="156" t="str">
        <f t="shared" si="77"/>
        <v/>
      </c>
      <c r="AU34" s="175" t="str">
        <f t="shared" si="11"/>
        <v/>
      </c>
      <c r="AV34" s="156" t="str">
        <f t="shared" si="12"/>
        <v/>
      </c>
      <c r="AW34" s="176" t="str">
        <f t="shared" si="78"/>
        <v/>
      </c>
      <c r="AX34" s="216" t="str">
        <f t="shared" si="79"/>
        <v/>
      </c>
      <c r="AY34" s="156" t="str">
        <f t="shared" si="13"/>
        <v/>
      </c>
      <c r="AZ34" s="156" t="str">
        <f t="shared" si="80"/>
        <v/>
      </c>
      <c r="BA34" s="156" t="str">
        <f t="shared" si="81"/>
        <v/>
      </c>
      <c r="BB34" s="175" t="str">
        <f t="shared" si="14"/>
        <v/>
      </c>
      <c r="BC34" s="156" t="str">
        <f t="shared" si="15"/>
        <v/>
      </c>
      <c r="BD34" s="216" t="str">
        <f t="shared" si="16"/>
        <v/>
      </c>
      <c r="BE34" s="216" t="str">
        <f t="shared" si="17"/>
        <v/>
      </c>
      <c r="BF34" s="156" t="str">
        <f t="shared" si="18"/>
        <v/>
      </c>
      <c r="BG34" s="156" t="str">
        <f t="shared" si="96"/>
        <v/>
      </c>
      <c r="BH34" s="156" t="e">
        <f t="shared" si="83"/>
        <v>#VALUE!</v>
      </c>
      <c r="BI34" s="175" t="str">
        <f t="shared" si="19"/>
        <v/>
      </c>
      <c r="BJ34" s="156" t="str">
        <f t="shared" si="20"/>
        <v/>
      </c>
      <c r="BK34" s="176" t="str">
        <f t="shared" si="21"/>
        <v/>
      </c>
      <c r="BL34" s="156" t="str">
        <f t="shared" si="22"/>
        <v/>
      </c>
      <c r="BM34" s="175" t="str">
        <f t="shared" si="23"/>
        <v/>
      </c>
      <c r="BN34" s="156" t="str">
        <f t="shared" si="24"/>
        <v/>
      </c>
      <c r="BO34" s="176" t="str">
        <f t="shared" si="25"/>
        <v/>
      </c>
      <c r="BP34" s="156" t="str">
        <f t="shared" si="26"/>
        <v/>
      </c>
      <c r="BQ34" s="156"/>
      <c r="BR34" s="179"/>
      <c r="BS34" s="155"/>
      <c r="BT34" s="174" t="str">
        <f t="shared" si="27"/>
        <v/>
      </c>
      <c r="BU34" s="155">
        <f t="shared" si="28"/>
        <v>18</v>
      </c>
      <c r="BV34" s="175" t="str">
        <f t="shared" si="29"/>
        <v/>
      </c>
      <c r="BW34" s="156" t="str">
        <f t="shared" si="30"/>
        <v/>
      </c>
      <c r="BX34" s="176" t="str">
        <f t="shared" si="84"/>
        <v/>
      </c>
      <c r="BY34" s="216" t="str">
        <f t="shared" si="85"/>
        <v/>
      </c>
      <c r="BZ34" s="156" t="str">
        <f t="shared" si="31"/>
        <v/>
      </c>
      <c r="CA34" s="156" t="str">
        <f t="shared" si="86"/>
        <v/>
      </c>
      <c r="CB34" s="177" t="str">
        <f t="shared" si="32"/>
        <v/>
      </c>
      <c r="CC34" s="175" t="str">
        <f t="shared" si="33"/>
        <v/>
      </c>
      <c r="CD34" s="156" t="str">
        <f t="shared" si="34"/>
        <v/>
      </c>
      <c r="CE34" s="176" t="str">
        <f t="shared" si="87"/>
        <v/>
      </c>
      <c r="CF34" s="216" t="str">
        <f t="shared" si="88"/>
        <v/>
      </c>
      <c r="CG34" s="156" t="str">
        <f t="shared" si="35"/>
        <v/>
      </c>
      <c r="CH34" s="156" t="str">
        <f t="shared" si="89"/>
        <v/>
      </c>
      <c r="CI34" s="156" t="str">
        <f t="shared" si="90"/>
        <v/>
      </c>
      <c r="CJ34" s="175" t="str">
        <f t="shared" si="36"/>
        <v/>
      </c>
      <c r="CK34" s="156" t="str">
        <f t="shared" si="37"/>
        <v/>
      </c>
      <c r="CL34" s="176" t="str">
        <f t="shared" si="38"/>
        <v/>
      </c>
      <c r="CM34" s="216" t="str">
        <f t="shared" si="91"/>
        <v/>
      </c>
      <c r="CN34" s="156" t="str">
        <f t="shared" si="39"/>
        <v/>
      </c>
      <c r="CO34" s="156" t="str">
        <f t="shared" si="40"/>
        <v/>
      </c>
      <c r="CP34" s="156" t="str">
        <f t="shared" si="92"/>
        <v/>
      </c>
      <c r="CQ34" s="175" t="str">
        <f t="shared" si="41"/>
        <v/>
      </c>
      <c r="CR34" s="156" t="str">
        <f t="shared" si="42"/>
        <v/>
      </c>
      <c r="CS34" s="156" t="str">
        <f t="shared" si="43"/>
        <v/>
      </c>
      <c r="CT34" s="156" t="str">
        <f t="shared" si="44"/>
        <v/>
      </c>
      <c r="CU34" s="175" t="str">
        <f t="shared" si="45"/>
        <v/>
      </c>
      <c r="CV34" s="156" t="str">
        <f t="shared" si="46"/>
        <v/>
      </c>
      <c r="CW34" s="156" t="str">
        <f t="shared" si="47"/>
        <v/>
      </c>
      <c r="CX34" s="156" t="str">
        <f t="shared" si="48"/>
        <v/>
      </c>
      <c r="CY34" s="156"/>
      <c r="CZ34" s="179"/>
      <c r="DA34" s="180"/>
      <c r="DB34" s="174" t="str">
        <f t="shared" si="49"/>
        <v/>
      </c>
      <c r="DC34" s="155">
        <f t="shared" si="95"/>
        <v>18</v>
      </c>
      <c r="DD34" s="175" t="str">
        <f t="shared" si="50"/>
        <v/>
      </c>
      <c r="DE34" s="156" t="str">
        <f t="shared" si="51"/>
        <v/>
      </c>
      <c r="DF34" s="178" t="str">
        <f t="shared" si="52"/>
        <v/>
      </c>
      <c r="DG34" s="177" t="str">
        <f t="shared" si="53"/>
        <v/>
      </c>
      <c r="DH34" s="175" t="str">
        <f t="shared" si="54"/>
        <v/>
      </c>
      <c r="DI34" s="156" t="str">
        <f t="shared" si="55"/>
        <v/>
      </c>
      <c r="DJ34" s="176" t="str">
        <f t="shared" si="56"/>
        <v/>
      </c>
      <c r="DK34" s="156" t="str">
        <f t="shared" si="57"/>
        <v/>
      </c>
      <c r="DL34" s="175" t="str">
        <f t="shared" si="58"/>
        <v/>
      </c>
      <c r="DM34" s="156" t="str">
        <f t="shared" si="59"/>
        <v/>
      </c>
      <c r="DN34" s="176" t="str">
        <f t="shared" si="60"/>
        <v/>
      </c>
      <c r="DO34" s="156" t="str">
        <f t="shared" si="61"/>
        <v/>
      </c>
      <c r="DP34" s="175" t="str">
        <f t="shared" si="62"/>
        <v/>
      </c>
      <c r="DQ34" s="156" t="str">
        <f t="shared" si="63"/>
        <v/>
      </c>
      <c r="DR34" s="156" t="str">
        <f t="shared" si="64"/>
        <v/>
      </c>
      <c r="DS34" s="156" t="str">
        <f t="shared" si="65"/>
        <v/>
      </c>
      <c r="DT34" s="175" t="str">
        <f t="shared" si="66"/>
        <v/>
      </c>
      <c r="DU34" s="156" t="str">
        <f t="shared" si="67"/>
        <v/>
      </c>
      <c r="DV34" s="156" t="str">
        <f t="shared" si="68"/>
        <v/>
      </c>
      <c r="DW34" s="156" t="str">
        <f t="shared" si="69"/>
        <v/>
      </c>
      <c r="DX34" s="81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</row>
    <row r="35" spans="1:176" ht="12.75" customHeight="1" thickTop="1" x14ac:dyDescent="0.15">
      <c r="B35" s="229">
        <f t="shared" si="93"/>
        <v>19</v>
      </c>
      <c r="C35" s="59"/>
      <c r="D35" s="60"/>
      <c r="E35" s="61"/>
      <c r="F35" s="404"/>
      <c r="G35" s="404"/>
      <c r="H35" s="62"/>
      <c r="I35" s="62"/>
      <c r="J35" s="62"/>
      <c r="K35" s="62"/>
      <c r="L35" s="271"/>
      <c r="M35" s="93"/>
      <c r="N35" s="94"/>
      <c r="O35" s="93"/>
      <c r="P35" s="95"/>
      <c r="Q35" s="233"/>
      <c r="R35" s="233"/>
      <c r="S35" s="280" t="str">
        <f t="shared" si="70"/>
        <v/>
      </c>
      <c r="T35" s="278" t="str">
        <f t="shared" si="71"/>
        <v/>
      </c>
      <c r="U35" s="235" t="str">
        <f t="shared" si="72"/>
        <v/>
      </c>
      <c r="V35" s="63" t="str">
        <f t="shared" si="73"/>
        <v/>
      </c>
      <c r="W35" s="64" t="str">
        <f t="shared" si="0"/>
        <v/>
      </c>
      <c r="X35" s="65" t="str">
        <f t="shared" si="1"/>
        <v/>
      </c>
      <c r="Y35" s="284"/>
      <c r="Z35" s="285" t="e">
        <f t="shared" si="74"/>
        <v>#VALUE!</v>
      </c>
      <c r="AA35" s="53"/>
      <c r="AB35" s="41"/>
      <c r="AC35" s="41"/>
      <c r="AD35" s="41"/>
      <c r="AE35" s="41"/>
      <c r="AF35" s="96" t="str">
        <f t="shared" si="2"/>
        <v/>
      </c>
      <c r="AG35" s="96" t="str">
        <f t="shared" si="3"/>
        <v/>
      </c>
      <c r="AH35" s="96" t="str">
        <f t="shared" si="4"/>
        <v/>
      </c>
      <c r="AI35" s="96"/>
      <c r="AJ35" s="168"/>
      <c r="AK35" s="192">
        <f t="shared" si="94"/>
        <v>19</v>
      </c>
      <c r="AL35" s="174" t="str">
        <f t="shared" si="5"/>
        <v/>
      </c>
      <c r="AM35" s="155">
        <f t="shared" si="6"/>
        <v>19</v>
      </c>
      <c r="AN35" s="175" t="str">
        <f t="shared" si="7"/>
        <v/>
      </c>
      <c r="AO35" s="156" t="str">
        <f t="shared" si="8"/>
        <v/>
      </c>
      <c r="AP35" s="176" t="str">
        <f t="shared" si="75"/>
        <v/>
      </c>
      <c r="AQ35" s="216" t="str">
        <f t="shared" si="76"/>
        <v/>
      </c>
      <c r="AR35" s="178" t="str">
        <f t="shared" si="9"/>
        <v/>
      </c>
      <c r="AS35" s="156" t="str">
        <f t="shared" si="10"/>
        <v/>
      </c>
      <c r="AT35" s="156" t="str">
        <f t="shared" si="77"/>
        <v/>
      </c>
      <c r="AU35" s="175" t="str">
        <f t="shared" si="11"/>
        <v/>
      </c>
      <c r="AV35" s="156" t="str">
        <f t="shared" si="12"/>
        <v/>
      </c>
      <c r="AW35" s="176" t="str">
        <f t="shared" si="78"/>
        <v/>
      </c>
      <c r="AX35" s="216" t="str">
        <f t="shared" si="79"/>
        <v/>
      </c>
      <c r="AY35" s="156" t="str">
        <f t="shared" si="13"/>
        <v/>
      </c>
      <c r="AZ35" s="156" t="str">
        <f t="shared" si="80"/>
        <v/>
      </c>
      <c r="BA35" s="156" t="str">
        <f t="shared" si="81"/>
        <v/>
      </c>
      <c r="BB35" s="175" t="str">
        <f t="shared" si="14"/>
        <v/>
      </c>
      <c r="BC35" s="156" t="str">
        <f t="shared" si="15"/>
        <v/>
      </c>
      <c r="BD35" s="216" t="str">
        <f t="shared" si="16"/>
        <v/>
      </c>
      <c r="BE35" s="216" t="str">
        <f t="shared" si="17"/>
        <v/>
      </c>
      <c r="BF35" s="156" t="str">
        <f t="shared" si="18"/>
        <v/>
      </c>
      <c r="BG35" s="156" t="str">
        <f t="shared" si="96"/>
        <v/>
      </c>
      <c r="BH35" s="156" t="e">
        <f t="shared" si="83"/>
        <v>#VALUE!</v>
      </c>
      <c r="BI35" s="175" t="str">
        <f t="shared" si="19"/>
        <v/>
      </c>
      <c r="BJ35" s="156" t="str">
        <f t="shared" si="20"/>
        <v/>
      </c>
      <c r="BK35" s="176" t="str">
        <f t="shared" si="21"/>
        <v/>
      </c>
      <c r="BL35" s="156" t="str">
        <f t="shared" si="22"/>
        <v/>
      </c>
      <c r="BM35" s="175" t="str">
        <f t="shared" si="23"/>
        <v/>
      </c>
      <c r="BN35" s="156" t="str">
        <f t="shared" si="24"/>
        <v/>
      </c>
      <c r="BO35" s="176" t="str">
        <f t="shared" si="25"/>
        <v/>
      </c>
      <c r="BP35" s="156" t="str">
        <f t="shared" si="26"/>
        <v/>
      </c>
      <c r="BQ35" s="156"/>
      <c r="BR35" s="179"/>
      <c r="BS35" s="155"/>
      <c r="BT35" s="174" t="str">
        <f t="shared" si="27"/>
        <v/>
      </c>
      <c r="BU35" s="155">
        <f t="shared" si="28"/>
        <v>19</v>
      </c>
      <c r="BV35" s="175" t="str">
        <f t="shared" si="29"/>
        <v/>
      </c>
      <c r="BW35" s="156" t="str">
        <f t="shared" si="30"/>
        <v/>
      </c>
      <c r="BX35" s="176" t="str">
        <f t="shared" si="84"/>
        <v/>
      </c>
      <c r="BY35" s="216" t="str">
        <f t="shared" si="85"/>
        <v/>
      </c>
      <c r="BZ35" s="156" t="str">
        <f t="shared" si="31"/>
        <v/>
      </c>
      <c r="CA35" s="156" t="str">
        <f t="shared" si="86"/>
        <v/>
      </c>
      <c r="CB35" s="177" t="str">
        <f t="shared" si="32"/>
        <v/>
      </c>
      <c r="CC35" s="175" t="str">
        <f t="shared" si="33"/>
        <v/>
      </c>
      <c r="CD35" s="156" t="str">
        <f t="shared" si="34"/>
        <v/>
      </c>
      <c r="CE35" s="176" t="str">
        <f t="shared" si="87"/>
        <v/>
      </c>
      <c r="CF35" s="216" t="str">
        <f t="shared" si="88"/>
        <v/>
      </c>
      <c r="CG35" s="156" t="str">
        <f t="shared" si="35"/>
        <v/>
      </c>
      <c r="CH35" s="156" t="str">
        <f t="shared" si="89"/>
        <v/>
      </c>
      <c r="CI35" s="156" t="str">
        <f t="shared" si="90"/>
        <v/>
      </c>
      <c r="CJ35" s="175" t="str">
        <f t="shared" si="36"/>
        <v/>
      </c>
      <c r="CK35" s="156" t="str">
        <f t="shared" si="37"/>
        <v/>
      </c>
      <c r="CL35" s="176" t="str">
        <f t="shared" si="38"/>
        <v/>
      </c>
      <c r="CM35" s="216" t="str">
        <f t="shared" si="91"/>
        <v/>
      </c>
      <c r="CN35" s="156" t="str">
        <f t="shared" si="39"/>
        <v/>
      </c>
      <c r="CO35" s="156" t="str">
        <f t="shared" si="40"/>
        <v/>
      </c>
      <c r="CP35" s="156" t="str">
        <f t="shared" si="92"/>
        <v/>
      </c>
      <c r="CQ35" s="175" t="str">
        <f t="shared" si="41"/>
        <v/>
      </c>
      <c r="CR35" s="156" t="str">
        <f t="shared" si="42"/>
        <v/>
      </c>
      <c r="CS35" s="156" t="str">
        <f t="shared" si="43"/>
        <v/>
      </c>
      <c r="CT35" s="156" t="str">
        <f t="shared" si="44"/>
        <v/>
      </c>
      <c r="CU35" s="175" t="str">
        <f t="shared" si="45"/>
        <v/>
      </c>
      <c r="CV35" s="156" t="str">
        <f t="shared" si="46"/>
        <v/>
      </c>
      <c r="CW35" s="156" t="str">
        <f t="shared" si="47"/>
        <v/>
      </c>
      <c r="CX35" s="156" t="str">
        <f t="shared" si="48"/>
        <v/>
      </c>
      <c r="CY35" s="156"/>
      <c r="CZ35" s="179"/>
      <c r="DA35" s="180"/>
      <c r="DB35" s="174" t="str">
        <f t="shared" si="49"/>
        <v/>
      </c>
      <c r="DC35" s="155">
        <f t="shared" si="95"/>
        <v>19</v>
      </c>
      <c r="DD35" s="175" t="str">
        <f t="shared" si="50"/>
        <v/>
      </c>
      <c r="DE35" s="156" t="str">
        <f t="shared" si="51"/>
        <v/>
      </c>
      <c r="DF35" s="178" t="str">
        <f t="shared" si="52"/>
        <v/>
      </c>
      <c r="DG35" s="177" t="str">
        <f t="shared" si="53"/>
        <v/>
      </c>
      <c r="DH35" s="175" t="str">
        <f t="shared" si="54"/>
        <v/>
      </c>
      <c r="DI35" s="156" t="str">
        <f t="shared" si="55"/>
        <v/>
      </c>
      <c r="DJ35" s="176" t="str">
        <f t="shared" si="56"/>
        <v/>
      </c>
      <c r="DK35" s="156" t="str">
        <f t="shared" si="57"/>
        <v/>
      </c>
      <c r="DL35" s="175" t="str">
        <f t="shared" si="58"/>
        <v/>
      </c>
      <c r="DM35" s="156" t="str">
        <f t="shared" si="59"/>
        <v/>
      </c>
      <c r="DN35" s="176" t="str">
        <f t="shared" si="60"/>
        <v/>
      </c>
      <c r="DO35" s="156" t="str">
        <f t="shared" si="61"/>
        <v/>
      </c>
      <c r="DP35" s="175" t="str">
        <f t="shared" si="62"/>
        <v/>
      </c>
      <c r="DQ35" s="156" t="str">
        <f t="shared" si="63"/>
        <v/>
      </c>
      <c r="DR35" s="156" t="str">
        <f t="shared" si="64"/>
        <v/>
      </c>
      <c r="DS35" s="156" t="str">
        <f t="shared" si="65"/>
        <v/>
      </c>
      <c r="DT35" s="175" t="str">
        <f t="shared" si="66"/>
        <v/>
      </c>
      <c r="DU35" s="156" t="str">
        <f t="shared" si="67"/>
        <v/>
      </c>
      <c r="DV35" s="156" t="str">
        <f t="shared" si="68"/>
        <v/>
      </c>
      <c r="DW35" s="156" t="str">
        <f t="shared" si="69"/>
        <v/>
      </c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</row>
    <row r="36" spans="1:176" ht="12.75" customHeight="1" x14ac:dyDescent="0.15">
      <c r="B36" s="229">
        <f t="shared" si="93"/>
        <v>20</v>
      </c>
      <c r="C36" s="59"/>
      <c r="D36" s="60"/>
      <c r="E36" s="61"/>
      <c r="F36" s="404"/>
      <c r="G36" s="404"/>
      <c r="H36" s="62"/>
      <c r="I36" s="62"/>
      <c r="J36" s="62"/>
      <c r="K36" s="62"/>
      <c r="L36" s="271"/>
      <c r="M36" s="93"/>
      <c r="N36" s="94"/>
      <c r="O36" s="93"/>
      <c r="P36" s="95"/>
      <c r="Q36" s="233"/>
      <c r="R36" s="233"/>
      <c r="S36" s="280" t="str">
        <f t="shared" si="70"/>
        <v/>
      </c>
      <c r="T36" s="278" t="str">
        <f t="shared" si="71"/>
        <v/>
      </c>
      <c r="U36" s="235" t="str">
        <f t="shared" si="72"/>
        <v/>
      </c>
      <c r="V36" s="63" t="str">
        <f t="shared" si="73"/>
        <v/>
      </c>
      <c r="W36" s="64" t="str">
        <f t="shared" si="0"/>
        <v/>
      </c>
      <c r="X36" s="65" t="str">
        <f t="shared" si="1"/>
        <v/>
      </c>
      <c r="Y36" s="284"/>
      <c r="Z36" s="285" t="e">
        <f t="shared" si="74"/>
        <v>#VALUE!</v>
      </c>
      <c r="AA36" s="53"/>
      <c r="AB36" s="41"/>
      <c r="AC36" s="41"/>
      <c r="AD36" s="41"/>
      <c r="AE36" s="41"/>
      <c r="AF36" s="96" t="str">
        <f t="shared" si="2"/>
        <v/>
      </c>
      <c r="AG36" s="96" t="str">
        <f t="shared" si="3"/>
        <v/>
      </c>
      <c r="AH36" s="96" t="str">
        <f t="shared" si="4"/>
        <v/>
      </c>
      <c r="AI36" s="96"/>
      <c r="AJ36" s="168"/>
      <c r="AK36" s="192">
        <f t="shared" si="94"/>
        <v>20</v>
      </c>
      <c r="AL36" s="174" t="str">
        <f t="shared" si="5"/>
        <v/>
      </c>
      <c r="AM36" s="155">
        <f t="shared" si="6"/>
        <v>20</v>
      </c>
      <c r="AN36" s="175" t="str">
        <f t="shared" si="7"/>
        <v/>
      </c>
      <c r="AO36" s="156" t="str">
        <f t="shared" si="8"/>
        <v/>
      </c>
      <c r="AP36" s="176" t="str">
        <f t="shared" si="75"/>
        <v/>
      </c>
      <c r="AQ36" s="216" t="str">
        <f t="shared" si="76"/>
        <v/>
      </c>
      <c r="AR36" s="178" t="str">
        <f t="shared" si="9"/>
        <v/>
      </c>
      <c r="AS36" s="156" t="str">
        <f t="shared" si="10"/>
        <v/>
      </c>
      <c r="AT36" s="156" t="str">
        <f t="shared" si="77"/>
        <v/>
      </c>
      <c r="AU36" s="175" t="str">
        <f t="shared" si="11"/>
        <v/>
      </c>
      <c r="AV36" s="156" t="str">
        <f t="shared" si="12"/>
        <v/>
      </c>
      <c r="AW36" s="176" t="str">
        <f t="shared" si="78"/>
        <v/>
      </c>
      <c r="AX36" s="216" t="str">
        <f t="shared" si="79"/>
        <v/>
      </c>
      <c r="AY36" s="156" t="str">
        <f t="shared" si="13"/>
        <v/>
      </c>
      <c r="AZ36" s="156" t="str">
        <f t="shared" si="80"/>
        <v/>
      </c>
      <c r="BA36" s="156" t="str">
        <f t="shared" si="81"/>
        <v/>
      </c>
      <c r="BB36" s="175" t="str">
        <f t="shared" si="14"/>
        <v/>
      </c>
      <c r="BC36" s="156" t="str">
        <f t="shared" si="15"/>
        <v/>
      </c>
      <c r="BD36" s="216" t="str">
        <f t="shared" si="16"/>
        <v/>
      </c>
      <c r="BE36" s="216" t="str">
        <f t="shared" si="17"/>
        <v/>
      </c>
      <c r="BF36" s="156" t="str">
        <f t="shared" si="18"/>
        <v/>
      </c>
      <c r="BG36" s="156" t="str">
        <f t="shared" si="96"/>
        <v/>
      </c>
      <c r="BH36" s="156" t="e">
        <f t="shared" si="83"/>
        <v>#VALUE!</v>
      </c>
      <c r="BI36" s="175" t="str">
        <f t="shared" si="19"/>
        <v/>
      </c>
      <c r="BJ36" s="156" t="str">
        <f t="shared" si="20"/>
        <v/>
      </c>
      <c r="BK36" s="176" t="str">
        <f t="shared" si="21"/>
        <v/>
      </c>
      <c r="BL36" s="156" t="str">
        <f t="shared" si="22"/>
        <v/>
      </c>
      <c r="BM36" s="175" t="str">
        <f t="shared" si="23"/>
        <v/>
      </c>
      <c r="BN36" s="156" t="str">
        <f t="shared" si="24"/>
        <v/>
      </c>
      <c r="BO36" s="176" t="str">
        <f t="shared" si="25"/>
        <v/>
      </c>
      <c r="BP36" s="156" t="str">
        <f t="shared" si="26"/>
        <v/>
      </c>
      <c r="BQ36" s="156"/>
      <c r="BR36" s="179"/>
      <c r="BS36" s="155"/>
      <c r="BT36" s="174" t="str">
        <f t="shared" si="27"/>
        <v/>
      </c>
      <c r="BU36" s="155">
        <f t="shared" si="28"/>
        <v>20</v>
      </c>
      <c r="BV36" s="175" t="str">
        <f t="shared" si="29"/>
        <v/>
      </c>
      <c r="BW36" s="156" t="str">
        <f t="shared" si="30"/>
        <v/>
      </c>
      <c r="BX36" s="176" t="str">
        <f t="shared" si="84"/>
        <v/>
      </c>
      <c r="BY36" s="216" t="str">
        <f t="shared" si="85"/>
        <v/>
      </c>
      <c r="BZ36" s="156" t="str">
        <f t="shared" si="31"/>
        <v/>
      </c>
      <c r="CA36" s="156" t="str">
        <f t="shared" si="86"/>
        <v/>
      </c>
      <c r="CB36" s="177" t="str">
        <f t="shared" si="32"/>
        <v/>
      </c>
      <c r="CC36" s="175" t="str">
        <f t="shared" si="33"/>
        <v/>
      </c>
      <c r="CD36" s="156" t="str">
        <f t="shared" si="34"/>
        <v/>
      </c>
      <c r="CE36" s="176" t="str">
        <f t="shared" si="87"/>
        <v/>
      </c>
      <c r="CF36" s="216" t="str">
        <f t="shared" si="88"/>
        <v/>
      </c>
      <c r="CG36" s="156" t="str">
        <f t="shared" si="35"/>
        <v/>
      </c>
      <c r="CH36" s="156" t="str">
        <f t="shared" si="89"/>
        <v/>
      </c>
      <c r="CI36" s="156" t="str">
        <f t="shared" si="90"/>
        <v/>
      </c>
      <c r="CJ36" s="175" t="str">
        <f t="shared" si="36"/>
        <v/>
      </c>
      <c r="CK36" s="156" t="str">
        <f t="shared" si="37"/>
        <v/>
      </c>
      <c r="CL36" s="176" t="str">
        <f t="shared" si="38"/>
        <v/>
      </c>
      <c r="CM36" s="216" t="str">
        <f t="shared" si="91"/>
        <v/>
      </c>
      <c r="CN36" s="156" t="str">
        <f t="shared" si="39"/>
        <v/>
      </c>
      <c r="CO36" s="156" t="str">
        <f t="shared" si="40"/>
        <v/>
      </c>
      <c r="CP36" s="156" t="str">
        <f t="shared" si="92"/>
        <v/>
      </c>
      <c r="CQ36" s="175" t="str">
        <f t="shared" si="41"/>
        <v/>
      </c>
      <c r="CR36" s="156" t="str">
        <f t="shared" si="42"/>
        <v/>
      </c>
      <c r="CS36" s="156" t="str">
        <f t="shared" si="43"/>
        <v/>
      </c>
      <c r="CT36" s="156" t="str">
        <f t="shared" si="44"/>
        <v/>
      </c>
      <c r="CU36" s="175" t="str">
        <f t="shared" si="45"/>
        <v/>
      </c>
      <c r="CV36" s="156" t="str">
        <f t="shared" si="46"/>
        <v/>
      </c>
      <c r="CW36" s="156" t="str">
        <f t="shared" si="47"/>
        <v/>
      </c>
      <c r="CX36" s="156" t="str">
        <f t="shared" si="48"/>
        <v/>
      </c>
      <c r="CY36" s="156"/>
      <c r="CZ36" s="179"/>
      <c r="DA36" s="183"/>
      <c r="DB36" s="174" t="str">
        <f t="shared" si="49"/>
        <v/>
      </c>
      <c r="DC36" s="155">
        <f t="shared" si="95"/>
        <v>20</v>
      </c>
      <c r="DD36" s="175" t="str">
        <f t="shared" si="50"/>
        <v/>
      </c>
      <c r="DE36" s="156" t="str">
        <f t="shared" si="51"/>
        <v/>
      </c>
      <c r="DF36" s="178" t="str">
        <f t="shared" si="52"/>
        <v/>
      </c>
      <c r="DG36" s="177" t="str">
        <f t="shared" si="53"/>
        <v/>
      </c>
      <c r="DH36" s="175" t="str">
        <f t="shared" si="54"/>
        <v/>
      </c>
      <c r="DI36" s="156" t="str">
        <f t="shared" si="55"/>
        <v/>
      </c>
      <c r="DJ36" s="176" t="str">
        <f t="shared" si="56"/>
        <v/>
      </c>
      <c r="DK36" s="156" t="str">
        <f t="shared" si="57"/>
        <v/>
      </c>
      <c r="DL36" s="175" t="str">
        <f t="shared" si="58"/>
        <v/>
      </c>
      <c r="DM36" s="156" t="str">
        <f t="shared" si="59"/>
        <v/>
      </c>
      <c r="DN36" s="176" t="str">
        <f t="shared" si="60"/>
        <v/>
      </c>
      <c r="DO36" s="156" t="str">
        <f t="shared" si="61"/>
        <v/>
      </c>
      <c r="DP36" s="175" t="str">
        <f t="shared" si="62"/>
        <v/>
      </c>
      <c r="DQ36" s="156" t="str">
        <f t="shared" si="63"/>
        <v/>
      </c>
      <c r="DR36" s="156" t="str">
        <f t="shared" si="64"/>
        <v/>
      </c>
      <c r="DS36" s="156" t="str">
        <f t="shared" si="65"/>
        <v/>
      </c>
      <c r="DT36" s="175" t="str">
        <f t="shared" si="66"/>
        <v/>
      </c>
      <c r="DU36" s="156" t="str">
        <f t="shared" si="67"/>
        <v/>
      </c>
      <c r="DV36" s="156" t="str">
        <f t="shared" si="68"/>
        <v/>
      </c>
      <c r="DW36" s="156" t="str">
        <f t="shared" si="69"/>
        <v/>
      </c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</row>
    <row r="37" spans="1:176" s="87" customFormat="1" ht="12.75" customHeight="1" thickBot="1" x14ac:dyDescent="0.2">
      <c r="A37" s="53"/>
      <c r="B37" s="229">
        <f t="shared" si="93"/>
        <v>21</v>
      </c>
      <c r="C37" s="66"/>
      <c r="D37" s="60"/>
      <c r="E37" s="61"/>
      <c r="F37" s="404"/>
      <c r="G37" s="404"/>
      <c r="H37" s="276"/>
      <c r="I37" s="269"/>
      <c r="J37" s="269"/>
      <c r="K37" s="269"/>
      <c r="L37" s="271"/>
      <c r="M37" s="93"/>
      <c r="N37" s="94"/>
      <c r="O37" s="93"/>
      <c r="P37" s="95"/>
      <c r="Q37" s="233"/>
      <c r="R37" s="233"/>
      <c r="S37" s="280" t="str">
        <f t="shared" si="70"/>
        <v/>
      </c>
      <c r="T37" s="278" t="str">
        <f t="shared" si="71"/>
        <v/>
      </c>
      <c r="U37" s="235" t="str">
        <f t="shared" si="72"/>
        <v/>
      </c>
      <c r="V37" s="63" t="str">
        <f t="shared" si="73"/>
        <v/>
      </c>
      <c r="W37" s="64" t="str">
        <f t="shared" si="0"/>
        <v/>
      </c>
      <c r="X37" s="65" t="str">
        <f t="shared" si="1"/>
        <v/>
      </c>
      <c r="Y37" s="284"/>
      <c r="Z37" s="285" t="e">
        <f t="shared" si="74"/>
        <v>#VALUE!</v>
      </c>
      <c r="AA37" s="53"/>
      <c r="AB37" s="41"/>
      <c r="AC37" s="41"/>
      <c r="AD37" s="41"/>
      <c r="AE37" s="41"/>
      <c r="AF37" s="96" t="str">
        <f t="shared" si="2"/>
        <v/>
      </c>
      <c r="AG37" s="96" t="str">
        <f t="shared" si="3"/>
        <v/>
      </c>
      <c r="AH37" s="96" t="str">
        <f t="shared" si="4"/>
        <v/>
      </c>
      <c r="AI37" s="96"/>
      <c r="AJ37" s="168"/>
      <c r="AK37" s="192">
        <f t="shared" si="94"/>
        <v>21</v>
      </c>
      <c r="AL37" s="174" t="str">
        <f t="shared" si="5"/>
        <v/>
      </c>
      <c r="AM37" s="155">
        <f t="shared" si="6"/>
        <v>21</v>
      </c>
      <c r="AN37" s="175" t="str">
        <f t="shared" si="7"/>
        <v/>
      </c>
      <c r="AO37" s="156" t="str">
        <f t="shared" si="8"/>
        <v/>
      </c>
      <c r="AP37" s="176" t="str">
        <f t="shared" si="75"/>
        <v/>
      </c>
      <c r="AQ37" s="216" t="str">
        <f t="shared" si="76"/>
        <v/>
      </c>
      <c r="AR37" s="178" t="str">
        <f t="shared" si="9"/>
        <v/>
      </c>
      <c r="AS37" s="156" t="str">
        <f t="shared" si="10"/>
        <v/>
      </c>
      <c r="AT37" s="156" t="str">
        <f t="shared" si="77"/>
        <v/>
      </c>
      <c r="AU37" s="175" t="str">
        <f t="shared" si="11"/>
        <v/>
      </c>
      <c r="AV37" s="156" t="str">
        <f t="shared" si="12"/>
        <v/>
      </c>
      <c r="AW37" s="176" t="str">
        <f t="shared" si="78"/>
        <v/>
      </c>
      <c r="AX37" s="216" t="str">
        <f t="shared" si="79"/>
        <v/>
      </c>
      <c r="AY37" s="156" t="str">
        <f t="shared" si="13"/>
        <v/>
      </c>
      <c r="AZ37" s="156" t="str">
        <f t="shared" si="80"/>
        <v/>
      </c>
      <c r="BA37" s="156" t="str">
        <f t="shared" si="81"/>
        <v/>
      </c>
      <c r="BB37" s="175" t="str">
        <f t="shared" si="14"/>
        <v/>
      </c>
      <c r="BC37" s="156" t="str">
        <f t="shared" si="15"/>
        <v/>
      </c>
      <c r="BD37" s="216" t="str">
        <f t="shared" si="16"/>
        <v/>
      </c>
      <c r="BE37" s="216" t="str">
        <f t="shared" si="17"/>
        <v/>
      </c>
      <c r="BF37" s="156" t="str">
        <f t="shared" si="18"/>
        <v/>
      </c>
      <c r="BG37" s="156" t="str">
        <f t="shared" si="96"/>
        <v/>
      </c>
      <c r="BH37" s="156" t="e">
        <f t="shared" si="83"/>
        <v>#VALUE!</v>
      </c>
      <c r="BI37" s="175" t="str">
        <f t="shared" si="19"/>
        <v/>
      </c>
      <c r="BJ37" s="156" t="str">
        <f t="shared" si="20"/>
        <v/>
      </c>
      <c r="BK37" s="176" t="str">
        <f t="shared" si="21"/>
        <v/>
      </c>
      <c r="BL37" s="156" t="str">
        <f t="shared" si="22"/>
        <v/>
      </c>
      <c r="BM37" s="175" t="str">
        <f t="shared" si="23"/>
        <v/>
      </c>
      <c r="BN37" s="156" t="str">
        <f t="shared" si="24"/>
        <v/>
      </c>
      <c r="BO37" s="176" t="str">
        <f t="shared" si="25"/>
        <v/>
      </c>
      <c r="BP37" s="156" t="str">
        <f t="shared" si="26"/>
        <v/>
      </c>
      <c r="BQ37" s="156"/>
      <c r="BR37" s="179"/>
      <c r="BS37" s="155"/>
      <c r="BT37" s="174" t="str">
        <f t="shared" si="27"/>
        <v/>
      </c>
      <c r="BU37" s="155">
        <f t="shared" si="28"/>
        <v>21</v>
      </c>
      <c r="BV37" s="175" t="str">
        <f t="shared" si="29"/>
        <v/>
      </c>
      <c r="BW37" s="156" t="str">
        <f t="shared" si="30"/>
        <v/>
      </c>
      <c r="BX37" s="176" t="str">
        <f t="shared" si="84"/>
        <v/>
      </c>
      <c r="BY37" s="216" t="str">
        <f t="shared" si="85"/>
        <v/>
      </c>
      <c r="BZ37" s="156" t="str">
        <f t="shared" si="31"/>
        <v/>
      </c>
      <c r="CA37" s="156" t="str">
        <f t="shared" si="86"/>
        <v/>
      </c>
      <c r="CB37" s="177" t="str">
        <f t="shared" si="32"/>
        <v/>
      </c>
      <c r="CC37" s="175" t="str">
        <f t="shared" si="33"/>
        <v/>
      </c>
      <c r="CD37" s="156" t="str">
        <f t="shared" si="34"/>
        <v/>
      </c>
      <c r="CE37" s="176" t="str">
        <f t="shared" si="87"/>
        <v/>
      </c>
      <c r="CF37" s="216" t="str">
        <f t="shared" si="88"/>
        <v/>
      </c>
      <c r="CG37" s="156" t="str">
        <f t="shared" si="35"/>
        <v/>
      </c>
      <c r="CH37" s="156" t="str">
        <f t="shared" si="89"/>
        <v/>
      </c>
      <c r="CI37" s="156" t="str">
        <f t="shared" si="90"/>
        <v/>
      </c>
      <c r="CJ37" s="175" t="str">
        <f t="shared" si="36"/>
        <v/>
      </c>
      <c r="CK37" s="156" t="str">
        <f t="shared" si="37"/>
        <v/>
      </c>
      <c r="CL37" s="176" t="str">
        <f t="shared" si="38"/>
        <v/>
      </c>
      <c r="CM37" s="216" t="str">
        <f t="shared" si="91"/>
        <v/>
      </c>
      <c r="CN37" s="156" t="str">
        <f t="shared" si="39"/>
        <v/>
      </c>
      <c r="CO37" s="156" t="str">
        <f t="shared" si="40"/>
        <v/>
      </c>
      <c r="CP37" s="156" t="str">
        <f t="shared" si="92"/>
        <v/>
      </c>
      <c r="CQ37" s="175" t="str">
        <f t="shared" si="41"/>
        <v/>
      </c>
      <c r="CR37" s="156" t="str">
        <f t="shared" si="42"/>
        <v/>
      </c>
      <c r="CS37" s="156" t="str">
        <f t="shared" si="43"/>
        <v/>
      </c>
      <c r="CT37" s="156" t="str">
        <f t="shared" si="44"/>
        <v/>
      </c>
      <c r="CU37" s="175" t="str">
        <f t="shared" si="45"/>
        <v/>
      </c>
      <c r="CV37" s="156" t="str">
        <f t="shared" si="46"/>
        <v/>
      </c>
      <c r="CW37" s="156" t="str">
        <f t="shared" si="47"/>
        <v/>
      </c>
      <c r="CX37" s="156" t="str">
        <f t="shared" si="48"/>
        <v/>
      </c>
      <c r="CY37" s="156"/>
      <c r="CZ37" s="179"/>
      <c r="DA37" s="183"/>
      <c r="DB37" s="174" t="str">
        <f t="shared" si="49"/>
        <v/>
      </c>
      <c r="DC37" s="155">
        <f t="shared" si="95"/>
        <v>21</v>
      </c>
      <c r="DD37" s="175" t="str">
        <f t="shared" si="50"/>
        <v/>
      </c>
      <c r="DE37" s="156" t="str">
        <f t="shared" si="51"/>
        <v/>
      </c>
      <c r="DF37" s="178" t="str">
        <f t="shared" si="52"/>
        <v/>
      </c>
      <c r="DG37" s="177" t="str">
        <f t="shared" si="53"/>
        <v/>
      </c>
      <c r="DH37" s="175" t="str">
        <f t="shared" si="54"/>
        <v/>
      </c>
      <c r="DI37" s="156" t="str">
        <f t="shared" si="55"/>
        <v/>
      </c>
      <c r="DJ37" s="176" t="str">
        <f t="shared" si="56"/>
        <v/>
      </c>
      <c r="DK37" s="156" t="str">
        <f t="shared" si="57"/>
        <v/>
      </c>
      <c r="DL37" s="175" t="str">
        <f t="shared" si="58"/>
        <v/>
      </c>
      <c r="DM37" s="156" t="str">
        <f t="shared" si="59"/>
        <v/>
      </c>
      <c r="DN37" s="176" t="str">
        <f t="shared" si="60"/>
        <v/>
      </c>
      <c r="DO37" s="156" t="str">
        <f t="shared" si="61"/>
        <v/>
      </c>
      <c r="DP37" s="175" t="str">
        <f t="shared" si="62"/>
        <v/>
      </c>
      <c r="DQ37" s="156" t="str">
        <f t="shared" si="63"/>
        <v/>
      </c>
      <c r="DR37" s="156" t="str">
        <f t="shared" si="64"/>
        <v/>
      </c>
      <c r="DS37" s="156" t="str">
        <f t="shared" si="65"/>
        <v/>
      </c>
      <c r="DT37" s="175" t="str">
        <f t="shared" si="66"/>
        <v/>
      </c>
      <c r="DU37" s="156" t="str">
        <f t="shared" si="67"/>
        <v/>
      </c>
      <c r="DV37" s="156" t="str">
        <f t="shared" si="68"/>
        <v/>
      </c>
      <c r="DW37" s="156" t="str">
        <f t="shared" si="69"/>
        <v/>
      </c>
      <c r="DX37" s="81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</row>
    <row r="38" spans="1:176" ht="12.75" customHeight="1" thickTop="1" x14ac:dyDescent="0.15">
      <c r="B38" s="229">
        <f t="shared" si="93"/>
        <v>22</v>
      </c>
      <c r="C38" s="266"/>
      <c r="D38" s="267"/>
      <c r="E38" s="268"/>
      <c r="F38" s="404"/>
      <c r="G38" s="404"/>
      <c r="H38" s="276"/>
      <c r="I38" s="269"/>
      <c r="J38" s="269"/>
      <c r="K38" s="269"/>
      <c r="L38" s="271"/>
      <c r="M38" s="93"/>
      <c r="N38" s="94"/>
      <c r="O38" s="93"/>
      <c r="P38" s="95"/>
      <c r="Q38" s="233"/>
      <c r="R38" s="233"/>
      <c r="S38" s="280" t="str">
        <f t="shared" si="70"/>
        <v/>
      </c>
      <c r="T38" s="278" t="str">
        <f t="shared" si="71"/>
        <v/>
      </c>
      <c r="U38" s="235" t="str">
        <f t="shared" si="72"/>
        <v/>
      </c>
      <c r="V38" s="63" t="str">
        <f t="shared" si="73"/>
        <v/>
      </c>
      <c r="W38" s="64" t="str">
        <f t="shared" si="0"/>
        <v/>
      </c>
      <c r="X38" s="65" t="str">
        <f t="shared" si="1"/>
        <v/>
      </c>
      <c r="Y38" s="284"/>
      <c r="Z38" s="285" t="e">
        <f t="shared" si="74"/>
        <v>#VALUE!</v>
      </c>
      <c r="AA38" s="53"/>
      <c r="AB38" s="41"/>
      <c r="AC38" s="41"/>
      <c r="AD38" s="41"/>
      <c r="AE38" s="41"/>
      <c r="AF38" s="96" t="str">
        <f t="shared" si="2"/>
        <v/>
      </c>
      <c r="AG38" s="96" t="str">
        <f t="shared" si="3"/>
        <v/>
      </c>
      <c r="AH38" s="96" t="str">
        <f t="shared" si="4"/>
        <v/>
      </c>
      <c r="AI38" s="96"/>
      <c r="AJ38" s="168"/>
      <c r="AK38" s="192">
        <f t="shared" si="94"/>
        <v>22</v>
      </c>
      <c r="AL38" s="174" t="str">
        <f t="shared" si="5"/>
        <v/>
      </c>
      <c r="AM38" s="155">
        <f t="shared" si="6"/>
        <v>22</v>
      </c>
      <c r="AN38" s="175" t="str">
        <f t="shared" si="7"/>
        <v/>
      </c>
      <c r="AO38" s="156" t="str">
        <f t="shared" si="8"/>
        <v/>
      </c>
      <c r="AP38" s="176" t="str">
        <f t="shared" si="75"/>
        <v/>
      </c>
      <c r="AQ38" s="216" t="str">
        <f t="shared" si="76"/>
        <v/>
      </c>
      <c r="AR38" s="178" t="str">
        <f t="shared" si="9"/>
        <v/>
      </c>
      <c r="AS38" s="156" t="str">
        <f t="shared" si="10"/>
        <v/>
      </c>
      <c r="AT38" s="156" t="str">
        <f t="shared" si="77"/>
        <v/>
      </c>
      <c r="AU38" s="175" t="str">
        <f t="shared" si="11"/>
        <v/>
      </c>
      <c r="AV38" s="156" t="str">
        <f t="shared" si="12"/>
        <v/>
      </c>
      <c r="AW38" s="176" t="str">
        <f t="shared" si="78"/>
        <v/>
      </c>
      <c r="AX38" s="216" t="str">
        <f t="shared" si="79"/>
        <v/>
      </c>
      <c r="AY38" s="156" t="str">
        <f t="shared" si="13"/>
        <v/>
      </c>
      <c r="AZ38" s="156" t="str">
        <f t="shared" si="80"/>
        <v/>
      </c>
      <c r="BA38" s="156" t="str">
        <f t="shared" si="81"/>
        <v/>
      </c>
      <c r="BB38" s="175" t="str">
        <f t="shared" si="14"/>
        <v/>
      </c>
      <c r="BC38" s="156" t="str">
        <f t="shared" si="15"/>
        <v/>
      </c>
      <c r="BD38" s="216" t="str">
        <f t="shared" si="16"/>
        <v/>
      </c>
      <c r="BE38" s="216" t="str">
        <f t="shared" si="17"/>
        <v/>
      </c>
      <c r="BF38" s="156" t="str">
        <f t="shared" si="18"/>
        <v/>
      </c>
      <c r="BG38" s="156" t="str">
        <f t="shared" si="96"/>
        <v/>
      </c>
      <c r="BH38" s="156" t="e">
        <f t="shared" si="83"/>
        <v>#VALUE!</v>
      </c>
      <c r="BI38" s="175" t="str">
        <f t="shared" si="19"/>
        <v/>
      </c>
      <c r="BJ38" s="156" t="str">
        <f t="shared" si="20"/>
        <v/>
      </c>
      <c r="BK38" s="176" t="str">
        <f t="shared" si="21"/>
        <v/>
      </c>
      <c r="BL38" s="156" t="str">
        <f t="shared" si="22"/>
        <v/>
      </c>
      <c r="BM38" s="175" t="str">
        <f t="shared" si="23"/>
        <v/>
      </c>
      <c r="BN38" s="156" t="str">
        <f t="shared" si="24"/>
        <v/>
      </c>
      <c r="BO38" s="176" t="str">
        <f t="shared" si="25"/>
        <v/>
      </c>
      <c r="BP38" s="156" t="str">
        <f t="shared" si="26"/>
        <v/>
      </c>
      <c r="BQ38" s="156"/>
      <c r="BR38" s="179"/>
      <c r="BS38" s="155"/>
      <c r="BT38" s="174" t="str">
        <f t="shared" si="27"/>
        <v/>
      </c>
      <c r="BU38" s="155">
        <f t="shared" si="28"/>
        <v>22</v>
      </c>
      <c r="BV38" s="175" t="str">
        <f t="shared" si="29"/>
        <v/>
      </c>
      <c r="BW38" s="156" t="str">
        <f t="shared" si="30"/>
        <v/>
      </c>
      <c r="BX38" s="176" t="str">
        <f t="shared" si="84"/>
        <v/>
      </c>
      <c r="BY38" s="216" t="str">
        <f t="shared" si="85"/>
        <v/>
      </c>
      <c r="BZ38" s="156" t="str">
        <f t="shared" si="31"/>
        <v/>
      </c>
      <c r="CA38" s="156" t="str">
        <f t="shared" si="86"/>
        <v/>
      </c>
      <c r="CB38" s="177" t="str">
        <f t="shared" si="32"/>
        <v/>
      </c>
      <c r="CC38" s="175" t="str">
        <f t="shared" si="33"/>
        <v/>
      </c>
      <c r="CD38" s="156" t="str">
        <f t="shared" si="34"/>
        <v/>
      </c>
      <c r="CE38" s="176" t="str">
        <f t="shared" si="87"/>
        <v/>
      </c>
      <c r="CF38" s="216" t="str">
        <f t="shared" si="88"/>
        <v/>
      </c>
      <c r="CG38" s="156" t="str">
        <f t="shared" si="35"/>
        <v/>
      </c>
      <c r="CH38" s="156" t="str">
        <f t="shared" si="89"/>
        <v/>
      </c>
      <c r="CI38" s="156" t="str">
        <f t="shared" si="90"/>
        <v/>
      </c>
      <c r="CJ38" s="175" t="str">
        <f t="shared" si="36"/>
        <v/>
      </c>
      <c r="CK38" s="156" t="str">
        <f t="shared" si="37"/>
        <v/>
      </c>
      <c r="CL38" s="176" t="str">
        <f t="shared" si="38"/>
        <v/>
      </c>
      <c r="CM38" s="216" t="str">
        <f t="shared" si="91"/>
        <v/>
      </c>
      <c r="CN38" s="156" t="str">
        <f t="shared" si="39"/>
        <v/>
      </c>
      <c r="CO38" s="156" t="str">
        <f t="shared" si="40"/>
        <v/>
      </c>
      <c r="CP38" s="156" t="str">
        <f t="shared" si="92"/>
        <v/>
      </c>
      <c r="CQ38" s="175" t="str">
        <f t="shared" si="41"/>
        <v/>
      </c>
      <c r="CR38" s="156" t="str">
        <f t="shared" si="42"/>
        <v/>
      </c>
      <c r="CS38" s="156" t="str">
        <f t="shared" si="43"/>
        <v/>
      </c>
      <c r="CT38" s="156" t="str">
        <f t="shared" si="44"/>
        <v/>
      </c>
      <c r="CU38" s="175" t="str">
        <f t="shared" si="45"/>
        <v/>
      </c>
      <c r="CV38" s="156" t="str">
        <f t="shared" si="46"/>
        <v/>
      </c>
      <c r="CW38" s="156" t="str">
        <f t="shared" si="47"/>
        <v/>
      </c>
      <c r="CX38" s="156" t="str">
        <f t="shared" si="48"/>
        <v/>
      </c>
      <c r="CY38" s="156"/>
      <c r="CZ38" s="179"/>
      <c r="DA38" s="183"/>
      <c r="DB38" s="174" t="str">
        <f t="shared" si="49"/>
        <v/>
      </c>
      <c r="DC38" s="155">
        <f t="shared" si="95"/>
        <v>22</v>
      </c>
      <c r="DD38" s="175" t="str">
        <f t="shared" si="50"/>
        <v/>
      </c>
      <c r="DE38" s="156" t="str">
        <f t="shared" si="51"/>
        <v/>
      </c>
      <c r="DF38" s="178" t="str">
        <f t="shared" si="52"/>
        <v/>
      </c>
      <c r="DG38" s="177" t="str">
        <f t="shared" si="53"/>
        <v/>
      </c>
      <c r="DH38" s="175" t="str">
        <f t="shared" si="54"/>
        <v/>
      </c>
      <c r="DI38" s="156" t="str">
        <f t="shared" si="55"/>
        <v/>
      </c>
      <c r="DJ38" s="176" t="str">
        <f t="shared" si="56"/>
        <v/>
      </c>
      <c r="DK38" s="156" t="str">
        <f t="shared" si="57"/>
        <v/>
      </c>
      <c r="DL38" s="175" t="str">
        <f t="shared" si="58"/>
        <v/>
      </c>
      <c r="DM38" s="156" t="str">
        <f t="shared" si="59"/>
        <v/>
      </c>
      <c r="DN38" s="176" t="str">
        <f t="shared" si="60"/>
        <v/>
      </c>
      <c r="DO38" s="156" t="str">
        <f t="shared" si="61"/>
        <v/>
      </c>
      <c r="DP38" s="175" t="str">
        <f t="shared" si="62"/>
        <v/>
      </c>
      <c r="DQ38" s="156" t="str">
        <f t="shared" si="63"/>
        <v/>
      </c>
      <c r="DR38" s="156" t="str">
        <f t="shared" si="64"/>
        <v/>
      </c>
      <c r="DS38" s="156" t="str">
        <f t="shared" si="65"/>
        <v/>
      </c>
      <c r="DT38" s="175" t="str">
        <f t="shared" si="66"/>
        <v/>
      </c>
      <c r="DU38" s="156" t="str">
        <f t="shared" si="67"/>
        <v/>
      </c>
      <c r="DV38" s="156" t="str">
        <f t="shared" si="68"/>
        <v/>
      </c>
      <c r="DW38" s="156" t="str">
        <f t="shared" si="69"/>
        <v/>
      </c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</row>
    <row r="39" spans="1:176" ht="12.75" customHeight="1" x14ac:dyDescent="0.15">
      <c r="B39" s="229">
        <f t="shared" si="93"/>
        <v>23</v>
      </c>
      <c r="C39" s="266"/>
      <c r="D39" s="267"/>
      <c r="E39" s="268"/>
      <c r="F39" s="404"/>
      <c r="G39" s="404"/>
      <c r="H39" s="276"/>
      <c r="I39" s="269"/>
      <c r="J39" s="269"/>
      <c r="K39" s="269"/>
      <c r="L39" s="271"/>
      <c r="M39" s="93"/>
      <c r="N39" s="94"/>
      <c r="O39" s="93"/>
      <c r="P39" s="95"/>
      <c r="Q39" s="233"/>
      <c r="R39" s="233"/>
      <c r="S39" s="280" t="str">
        <f t="shared" si="70"/>
        <v/>
      </c>
      <c r="T39" s="278" t="str">
        <f t="shared" si="71"/>
        <v/>
      </c>
      <c r="U39" s="235" t="str">
        <f t="shared" si="72"/>
        <v/>
      </c>
      <c r="V39" s="63" t="str">
        <f t="shared" si="73"/>
        <v/>
      </c>
      <c r="W39" s="64" t="str">
        <f t="shared" si="0"/>
        <v/>
      </c>
      <c r="X39" s="65" t="str">
        <f t="shared" si="1"/>
        <v/>
      </c>
      <c r="Y39" s="284"/>
      <c r="Z39" s="285" t="e">
        <f t="shared" si="74"/>
        <v>#VALUE!</v>
      </c>
      <c r="AA39" s="53"/>
      <c r="AB39" s="41"/>
      <c r="AC39" s="41"/>
      <c r="AD39" s="41"/>
      <c r="AE39" s="41"/>
      <c r="AF39" s="96" t="str">
        <f t="shared" si="2"/>
        <v/>
      </c>
      <c r="AG39" s="96" t="str">
        <f t="shared" si="3"/>
        <v/>
      </c>
      <c r="AH39" s="96" t="str">
        <f t="shared" si="4"/>
        <v/>
      </c>
      <c r="AI39" s="96"/>
      <c r="AJ39" s="168"/>
      <c r="AK39" s="192">
        <f t="shared" si="94"/>
        <v>23</v>
      </c>
      <c r="AL39" s="174" t="str">
        <f t="shared" si="5"/>
        <v/>
      </c>
      <c r="AM39" s="155">
        <f t="shared" si="6"/>
        <v>23</v>
      </c>
      <c r="AN39" s="175" t="str">
        <f t="shared" si="7"/>
        <v/>
      </c>
      <c r="AO39" s="156" t="str">
        <f t="shared" si="8"/>
        <v/>
      </c>
      <c r="AP39" s="176" t="str">
        <f t="shared" si="75"/>
        <v/>
      </c>
      <c r="AQ39" s="216" t="str">
        <f t="shared" si="76"/>
        <v/>
      </c>
      <c r="AR39" s="178" t="str">
        <f t="shared" si="9"/>
        <v/>
      </c>
      <c r="AS39" s="156" t="str">
        <f t="shared" si="10"/>
        <v/>
      </c>
      <c r="AT39" s="156" t="str">
        <f t="shared" si="77"/>
        <v/>
      </c>
      <c r="AU39" s="175" t="str">
        <f t="shared" si="11"/>
        <v/>
      </c>
      <c r="AV39" s="156" t="str">
        <f t="shared" si="12"/>
        <v/>
      </c>
      <c r="AW39" s="176" t="str">
        <f t="shared" si="78"/>
        <v/>
      </c>
      <c r="AX39" s="216" t="str">
        <f t="shared" si="79"/>
        <v/>
      </c>
      <c r="AY39" s="156" t="str">
        <f t="shared" si="13"/>
        <v/>
      </c>
      <c r="AZ39" s="156" t="str">
        <f t="shared" si="80"/>
        <v/>
      </c>
      <c r="BA39" s="156" t="str">
        <f t="shared" si="81"/>
        <v/>
      </c>
      <c r="BB39" s="175" t="str">
        <f t="shared" si="14"/>
        <v/>
      </c>
      <c r="BC39" s="156" t="str">
        <f t="shared" si="15"/>
        <v/>
      </c>
      <c r="BD39" s="216" t="str">
        <f t="shared" si="16"/>
        <v/>
      </c>
      <c r="BE39" s="216" t="str">
        <f t="shared" si="17"/>
        <v/>
      </c>
      <c r="BF39" s="156" t="str">
        <f t="shared" si="18"/>
        <v/>
      </c>
      <c r="BG39" s="156" t="str">
        <f t="shared" si="96"/>
        <v/>
      </c>
      <c r="BH39" s="156" t="e">
        <f t="shared" si="83"/>
        <v>#VALUE!</v>
      </c>
      <c r="BI39" s="175" t="str">
        <f t="shared" si="19"/>
        <v/>
      </c>
      <c r="BJ39" s="156" t="str">
        <f t="shared" si="20"/>
        <v/>
      </c>
      <c r="BK39" s="176" t="str">
        <f t="shared" si="21"/>
        <v/>
      </c>
      <c r="BL39" s="156" t="str">
        <f t="shared" si="22"/>
        <v/>
      </c>
      <c r="BM39" s="175" t="str">
        <f t="shared" si="23"/>
        <v/>
      </c>
      <c r="BN39" s="156" t="str">
        <f t="shared" si="24"/>
        <v/>
      </c>
      <c r="BO39" s="176" t="str">
        <f t="shared" si="25"/>
        <v/>
      </c>
      <c r="BP39" s="156" t="str">
        <f t="shared" si="26"/>
        <v/>
      </c>
      <c r="BQ39" s="156"/>
      <c r="BR39" s="179"/>
      <c r="BS39" s="155"/>
      <c r="BT39" s="174" t="str">
        <f t="shared" si="27"/>
        <v/>
      </c>
      <c r="BU39" s="155">
        <f t="shared" si="28"/>
        <v>23</v>
      </c>
      <c r="BV39" s="175" t="str">
        <f t="shared" si="29"/>
        <v/>
      </c>
      <c r="BW39" s="156" t="str">
        <f t="shared" si="30"/>
        <v/>
      </c>
      <c r="BX39" s="176" t="str">
        <f t="shared" si="84"/>
        <v/>
      </c>
      <c r="BY39" s="216" t="str">
        <f t="shared" si="85"/>
        <v/>
      </c>
      <c r="BZ39" s="156" t="str">
        <f t="shared" si="31"/>
        <v/>
      </c>
      <c r="CA39" s="156" t="str">
        <f t="shared" si="86"/>
        <v/>
      </c>
      <c r="CB39" s="177" t="str">
        <f t="shared" si="32"/>
        <v/>
      </c>
      <c r="CC39" s="175" t="str">
        <f t="shared" si="33"/>
        <v/>
      </c>
      <c r="CD39" s="156" t="str">
        <f t="shared" si="34"/>
        <v/>
      </c>
      <c r="CE39" s="176" t="str">
        <f t="shared" si="87"/>
        <v/>
      </c>
      <c r="CF39" s="216" t="str">
        <f t="shared" si="88"/>
        <v/>
      </c>
      <c r="CG39" s="156" t="str">
        <f t="shared" si="35"/>
        <v/>
      </c>
      <c r="CH39" s="156" t="str">
        <f t="shared" si="89"/>
        <v/>
      </c>
      <c r="CI39" s="156" t="str">
        <f t="shared" si="90"/>
        <v/>
      </c>
      <c r="CJ39" s="175" t="str">
        <f t="shared" si="36"/>
        <v/>
      </c>
      <c r="CK39" s="156" t="str">
        <f t="shared" si="37"/>
        <v/>
      </c>
      <c r="CL39" s="176" t="str">
        <f t="shared" si="38"/>
        <v/>
      </c>
      <c r="CM39" s="216" t="str">
        <f t="shared" si="91"/>
        <v/>
      </c>
      <c r="CN39" s="156" t="str">
        <f t="shared" si="39"/>
        <v/>
      </c>
      <c r="CO39" s="156" t="str">
        <f t="shared" si="40"/>
        <v/>
      </c>
      <c r="CP39" s="156" t="str">
        <f t="shared" si="92"/>
        <v/>
      </c>
      <c r="CQ39" s="175" t="str">
        <f t="shared" si="41"/>
        <v/>
      </c>
      <c r="CR39" s="156" t="str">
        <f t="shared" si="42"/>
        <v/>
      </c>
      <c r="CS39" s="156" t="str">
        <f t="shared" si="43"/>
        <v/>
      </c>
      <c r="CT39" s="156" t="str">
        <f t="shared" si="44"/>
        <v/>
      </c>
      <c r="CU39" s="175" t="str">
        <f t="shared" si="45"/>
        <v/>
      </c>
      <c r="CV39" s="156" t="str">
        <f t="shared" si="46"/>
        <v/>
      </c>
      <c r="CW39" s="156" t="str">
        <f t="shared" si="47"/>
        <v/>
      </c>
      <c r="CX39" s="156" t="str">
        <f t="shared" si="48"/>
        <v/>
      </c>
      <c r="CY39" s="156"/>
      <c r="CZ39" s="179"/>
      <c r="DA39" s="183"/>
      <c r="DB39" s="174" t="str">
        <f t="shared" si="49"/>
        <v/>
      </c>
      <c r="DC39" s="155">
        <f t="shared" si="95"/>
        <v>23</v>
      </c>
      <c r="DD39" s="175" t="str">
        <f t="shared" si="50"/>
        <v/>
      </c>
      <c r="DE39" s="156" t="str">
        <f t="shared" si="51"/>
        <v/>
      </c>
      <c r="DF39" s="178" t="str">
        <f t="shared" si="52"/>
        <v/>
      </c>
      <c r="DG39" s="177" t="str">
        <f t="shared" si="53"/>
        <v/>
      </c>
      <c r="DH39" s="175" t="str">
        <f t="shared" si="54"/>
        <v/>
      </c>
      <c r="DI39" s="156" t="str">
        <f t="shared" si="55"/>
        <v/>
      </c>
      <c r="DJ39" s="176" t="str">
        <f t="shared" si="56"/>
        <v/>
      </c>
      <c r="DK39" s="156" t="str">
        <f t="shared" si="57"/>
        <v/>
      </c>
      <c r="DL39" s="175" t="str">
        <f t="shared" si="58"/>
        <v/>
      </c>
      <c r="DM39" s="156" t="str">
        <f t="shared" si="59"/>
        <v/>
      </c>
      <c r="DN39" s="176" t="str">
        <f t="shared" si="60"/>
        <v/>
      </c>
      <c r="DO39" s="156" t="str">
        <f t="shared" si="61"/>
        <v/>
      </c>
      <c r="DP39" s="175" t="str">
        <f t="shared" si="62"/>
        <v/>
      </c>
      <c r="DQ39" s="156" t="str">
        <f t="shared" si="63"/>
        <v/>
      </c>
      <c r="DR39" s="156" t="str">
        <f t="shared" si="64"/>
        <v/>
      </c>
      <c r="DS39" s="156" t="str">
        <f t="shared" si="65"/>
        <v/>
      </c>
      <c r="DT39" s="175" t="str">
        <f t="shared" si="66"/>
        <v/>
      </c>
      <c r="DU39" s="156" t="str">
        <f t="shared" si="67"/>
        <v/>
      </c>
      <c r="DV39" s="156" t="str">
        <f t="shared" si="68"/>
        <v/>
      </c>
      <c r="DW39" s="156" t="str">
        <f t="shared" si="69"/>
        <v/>
      </c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</row>
    <row r="40" spans="1:176" s="98" customFormat="1" ht="12.75" customHeight="1" thickBot="1" x14ac:dyDescent="0.2">
      <c r="A40" s="53"/>
      <c r="B40" s="229">
        <f t="shared" si="93"/>
        <v>24</v>
      </c>
      <c r="C40" s="266"/>
      <c r="D40" s="267"/>
      <c r="E40" s="268"/>
      <c r="F40" s="312"/>
      <c r="G40" s="410"/>
      <c r="H40" s="276"/>
      <c r="I40" s="276"/>
      <c r="J40" s="281"/>
      <c r="K40" s="276"/>
      <c r="L40" s="276"/>
      <c r="M40" s="93"/>
      <c r="N40" s="94"/>
      <c r="O40" s="93"/>
      <c r="P40" s="95"/>
      <c r="Q40" s="233"/>
      <c r="R40" s="233"/>
      <c r="S40" s="280" t="str">
        <f t="shared" si="70"/>
        <v/>
      </c>
      <c r="T40" s="278" t="str">
        <f t="shared" si="71"/>
        <v/>
      </c>
      <c r="U40" s="235" t="str">
        <f t="shared" si="72"/>
        <v/>
      </c>
      <c r="V40" s="63" t="str">
        <f t="shared" si="73"/>
        <v/>
      </c>
      <c r="W40" s="64" t="str">
        <f t="shared" si="0"/>
        <v/>
      </c>
      <c r="X40" s="65" t="str">
        <f t="shared" si="1"/>
        <v/>
      </c>
      <c r="Y40" s="284"/>
      <c r="Z40" s="285" t="e">
        <f t="shared" si="74"/>
        <v>#VALUE!</v>
      </c>
      <c r="AA40" s="53"/>
      <c r="AB40" s="41"/>
      <c r="AC40" s="41"/>
      <c r="AD40" s="41"/>
      <c r="AE40" s="41"/>
      <c r="AF40" s="96" t="str">
        <f t="shared" si="2"/>
        <v/>
      </c>
      <c r="AG40" s="96" t="str">
        <f t="shared" si="3"/>
        <v/>
      </c>
      <c r="AH40" s="96" t="str">
        <f t="shared" si="4"/>
        <v/>
      </c>
      <c r="AI40" s="96"/>
      <c r="AJ40" s="168"/>
      <c r="AK40" s="192">
        <f t="shared" si="94"/>
        <v>24</v>
      </c>
      <c r="AL40" s="174" t="str">
        <f t="shared" si="5"/>
        <v/>
      </c>
      <c r="AM40" s="155">
        <f t="shared" si="6"/>
        <v>24</v>
      </c>
      <c r="AN40" s="175" t="str">
        <f t="shared" si="7"/>
        <v/>
      </c>
      <c r="AO40" s="156" t="str">
        <f t="shared" si="8"/>
        <v/>
      </c>
      <c r="AP40" s="176" t="str">
        <f t="shared" si="75"/>
        <v/>
      </c>
      <c r="AQ40" s="216" t="str">
        <f t="shared" si="76"/>
        <v/>
      </c>
      <c r="AR40" s="178" t="str">
        <f t="shared" si="9"/>
        <v/>
      </c>
      <c r="AS40" s="156" t="str">
        <f t="shared" si="10"/>
        <v/>
      </c>
      <c r="AT40" s="156" t="str">
        <f t="shared" si="77"/>
        <v/>
      </c>
      <c r="AU40" s="175" t="str">
        <f t="shared" si="11"/>
        <v/>
      </c>
      <c r="AV40" s="156" t="str">
        <f t="shared" si="12"/>
        <v/>
      </c>
      <c r="AW40" s="176" t="str">
        <f t="shared" si="78"/>
        <v/>
      </c>
      <c r="AX40" s="216" t="str">
        <f t="shared" si="79"/>
        <v/>
      </c>
      <c r="AY40" s="156" t="str">
        <f t="shared" si="13"/>
        <v/>
      </c>
      <c r="AZ40" s="156" t="str">
        <f t="shared" si="80"/>
        <v/>
      </c>
      <c r="BA40" s="156" t="str">
        <f t="shared" si="81"/>
        <v/>
      </c>
      <c r="BB40" s="175" t="str">
        <f t="shared" si="14"/>
        <v/>
      </c>
      <c r="BC40" s="156" t="str">
        <f t="shared" si="15"/>
        <v/>
      </c>
      <c r="BD40" s="216" t="str">
        <f t="shared" si="16"/>
        <v/>
      </c>
      <c r="BE40" s="216" t="str">
        <f t="shared" si="17"/>
        <v/>
      </c>
      <c r="BF40" s="156" t="str">
        <f t="shared" si="18"/>
        <v/>
      </c>
      <c r="BG40" s="156" t="str">
        <f t="shared" si="96"/>
        <v/>
      </c>
      <c r="BH40" s="156" t="e">
        <f t="shared" si="83"/>
        <v>#VALUE!</v>
      </c>
      <c r="BI40" s="175" t="str">
        <f t="shared" si="19"/>
        <v/>
      </c>
      <c r="BJ40" s="156" t="str">
        <f t="shared" si="20"/>
        <v/>
      </c>
      <c r="BK40" s="176" t="str">
        <f t="shared" si="21"/>
        <v/>
      </c>
      <c r="BL40" s="156" t="str">
        <f t="shared" si="22"/>
        <v/>
      </c>
      <c r="BM40" s="175" t="str">
        <f t="shared" si="23"/>
        <v/>
      </c>
      <c r="BN40" s="156" t="str">
        <f t="shared" si="24"/>
        <v/>
      </c>
      <c r="BO40" s="176" t="str">
        <f t="shared" si="25"/>
        <v/>
      </c>
      <c r="BP40" s="156" t="str">
        <f t="shared" si="26"/>
        <v/>
      </c>
      <c r="BQ40" s="156"/>
      <c r="BR40" s="179"/>
      <c r="BS40" s="155"/>
      <c r="BT40" s="174" t="str">
        <f t="shared" si="27"/>
        <v/>
      </c>
      <c r="BU40" s="155">
        <f t="shared" si="28"/>
        <v>24</v>
      </c>
      <c r="BV40" s="175" t="str">
        <f t="shared" si="29"/>
        <v/>
      </c>
      <c r="BW40" s="156" t="str">
        <f t="shared" si="30"/>
        <v/>
      </c>
      <c r="BX40" s="176" t="str">
        <f t="shared" si="84"/>
        <v/>
      </c>
      <c r="BY40" s="216" t="str">
        <f t="shared" si="85"/>
        <v/>
      </c>
      <c r="BZ40" s="156" t="str">
        <f t="shared" si="31"/>
        <v/>
      </c>
      <c r="CA40" s="156" t="str">
        <f t="shared" si="86"/>
        <v/>
      </c>
      <c r="CB40" s="177" t="str">
        <f t="shared" si="32"/>
        <v/>
      </c>
      <c r="CC40" s="175" t="str">
        <f t="shared" si="33"/>
        <v/>
      </c>
      <c r="CD40" s="156" t="str">
        <f t="shared" si="34"/>
        <v/>
      </c>
      <c r="CE40" s="176" t="str">
        <f t="shared" si="87"/>
        <v/>
      </c>
      <c r="CF40" s="216" t="str">
        <f t="shared" si="88"/>
        <v/>
      </c>
      <c r="CG40" s="156" t="str">
        <f t="shared" si="35"/>
        <v/>
      </c>
      <c r="CH40" s="156" t="str">
        <f t="shared" si="89"/>
        <v/>
      </c>
      <c r="CI40" s="156" t="str">
        <f t="shared" si="90"/>
        <v/>
      </c>
      <c r="CJ40" s="175" t="str">
        <f t="shared" si="36"/>
        <v/>
      </c>
      <c r="CK40" s="156" t="str">
        <f t="shared" si="37"/>
        <v/>
      </c>
      <c r="CL40" s="176" t="str">
        <f t="shared" si="38"/>
        <v/>
      </c>
      <c r="CM40" s="216" t="str">
        <f t="shared" si="91"/>
        <v/>
      </c>
      <c r="CN40" s="156" t="str">
        <f t="shared" si="39"/>
        <v/>
      </c>
      <c r="CO40" s="156" t="str">
        <f t="shared" si="40"/>
        <v/>
      </c>
      <c r="CP40" s="156" t="str">
        <f t="shared" si="92"/>
        <v/>
      </c>
      <c r="CQ40" s="175" t="str">
        <f t="shared" si="41"/>
        <v/>
      </c>
      <c r="CR40" s="156" t="str">
        <f t="shared" si="42"/>
        <v/>
      </c>
      <c r="CS40" s="156" t="str">
        <f t="shared" si="43"/>
        <v/>
      </c>
      <c r="CT40" s="156" t="str">
        <f t="shared" si="44"/>
        <v/>
      </c>
      <c r="CU40" s="175" t="str">
        <f t="shared" si="45"/>
        <v/>
      </c>
      <c r="CV40" s="156" t="str">
        <f t="shared" si="46"/>
        <v/>
      </c>
      <c r="CW40" s="156" t="str">
        <f t="shared" si="47"/>
        <v/>
      </c>
      <c r="CX40" s="156" t="str">
        <f t="shared" si="48"/>
        <v/>
      </c>
      <c r="CY40" s="156"/>
      <c r="CZ40" s="179"/>
      <c r="DA40" s="183"/>
      <c r="DB40" s="174" t="str">
        <f t="shared" si="49"/>
        <v/>
      </c>
      <c r="DC40" s="155">
        <f t="shared" si="95"/>
        <v>24</v>
      </c>
      <c r="DD40" s="175" t="str">
        <f t="shared" si="50"/>
        <v/>
      </c>
      <c r="DE40" s="156" t="str">
        <f t="shared" si="51"/>
        <v/>
      </c>
      <c r="DF40" s="178" t="str">
        <f t="shared" si="52"/>
        <v/>
      </c>
      <c r="DG40" s="177" t="str">
        <f t="shared" si="53"/>
        <v/>
      </c>
      <c r="DH40" s="175" t="str">
        <f t="shared" si="54"/>
        <v/>
      </c>
      <c r="DI40" s="156" t="str">
        <f t="shared" si="55"/>
        <v/>
      </c>
      <c r="DJ40" s="176" t="str">
        <f t="shared" si="56"/>
        <v/>
      </c>
      <c r="DK40" s="156" t="str">
        <f t="shared" si="57"/>
        <v/>
      </c>
      <c r="DL40" s="175" t="str">
        <f t="shared" si="58"/>
        <v/>
      </c>
      <c r="DM40" s="156" t="str">
        <f t="shared" si="59"/>
        <v/>
      </c>
      <c r="DN40" s="176" t="str">
        <f t="shared" si="60"/>
        <v/>
      </c>
      <c r="DO40" s="156" t="str">
        <f t="shared" si="61"/>
        <v/>
      </c>
      <c r="DP40" s="175" t="str">
        <f t="shared" si="62"/>
        <v/>
      </c>
      <c r="DQ40" s="156" t="str">
        <f t="shared" si="63"/>
        <v/>
      </c>
      <c r="DR40" s="156" t="str">
        <f t="shared" si="64"/>
        <v/>
      </c>
      <c r="DS40" s="156" t="str">
        <f t="shared" si="65"/>
        <v/>
      </c>
      <c r="DT40" s="175" t="str">
        <f t="shared" si="66"/>
        <v/>
      </c>
      <c r="DU40" s="156" t="str">
        <f t="shared" si="67"/>
        <v/>
      </c>
      <c r="DV40" s="156" t="str">
        <f t="shared" si="68"/>
        <v/>
      </c>
      <c r="DW40" s="156" t="str">
        <f t="shared" si="69"/>
        <v/>
      </c>
      <c r="DX40" s="81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</row>
    <row r="41" spans="1:176" ht="12.75" customHeight="1" x14ac:dyDescent="0.15">
      <c r="B41" s="229">
        <f t="shared" si="93"/>
        <v>25</v>
      </c>
      <c r="C41" s="268"/>
      <c r="D41" s="267"/>
      <c r="E41" s="268"/>
      <c r="F41" s="274"/>
      <c r="G41" s="275"/>
      <c r="H41" s="276"/>
      <c r="I41" s="269"/>
      <c r="J41" s="270"/>
      <c r="K41" s="269"/>
      <c r="L41" s="271"/>
      <c r="M41" s="93"/>
      <c r="N41" s="94"/>
      <c r="O41" s="93"/>
      <c r="P41" s="95"/>
      <c r="Q41" s="233"/>
      <c r="R41" s="233"/>
      <c r="S41" s="280" t="str">
        <f t="shared" si="70"/>
        <v/>
      </c>
      <c r="T41" s="278" t="str">
        <f t="shared" si="71"/>
        <v/>
      </c>
      <c r="U41" s="235" t="str">
        <f t="shared" si="72"/>
        <v/>
      </c>
      <c r="V41" s="63" t="str">
        <f t="shared" si="73"/>
        <v/>
      </c>
      <c r="W41" s="64" t="str">
        <f t="shared" si="0"/>
        <v/>
      </c>
      <c r="X41" s="65" t="str">
        <f t="shared" si="1"/>
        <v/>
      </c>
      <c r="Y41" s="284"/>
      <c r="Z41" s="285" t="e">
        <f t="shared" si="74"/>
        <v>#VALUE!</v>
      </c>
      <c r="AA41" s="53"/>
      <c r="AB41" s="41"/>
      <c r="AC41" s="41"/>
      <c r="AD41" s="41"/>
      <c r="AE41" s="41"/>
      <c r="AF41" s="96" t="str">
        <f t="shared" si="2"/>
        <v/>
      </c>
      <c r="AG41" s="96" t="str">
        <f t="shared" si="3"/>
        <v/>
      </c>
      <c r="AH41" s="96" t="str">
        <f t="shared" si="4"/>
        <v/>
      </c>
      <c r="AI41" s="96" t="str">
        <f t="shared" ref="AI41:AI46" si="97">+IF(H41=1,X41,"")</f>
        <v/>
      </c>
      <c r="AJ41" s="168"/>
      <c r="AK41" s="192">
        <f t="shared" si="94"/>
        <v>25</v>
      </c>
      <c r="AL41" s="174" t="str">
        <f t="shared" si="5"/>
        <v/>
      </c>
      <c r="AM41" s="155">
        <f t="shared" si="6"/>
        <v>25</v>
      </c>
      <c r="AN41" s="175" t="str">
        <f t="shared" si="7"/>
        <v/>
      </c>
      <c r="AO41" s="156" t="str">
        <f t="shared" si="8"/>
        <v/>
      </c>
      <c r="AP41" s="176" t="str">
        <f t="shared" si="75"/>
        <v/>
      </c>
      <c r="AQ41" s="216" t="str">
        <f t="shared" si="76"/>
        <v/>
      </c>
      <c r="AR41" s="178" t="str">
        <f t="shared" si="9"/>
        <v/>
      </c>
      <c r="AS41" s="156" t="str">
        <f t="shared" si="10"/>
        <v/>
      </c>
      <c r="AT41" s="156" t="str">
        <f t="shared" si="77"/>
        <v/>
      </c>
      <c r="AU41" s="175" t="str">
        <f t="shared" si="11"/>
        <v/>
      </c>
      <c r="AV41" s="156" t="str">
        <f t="shared" si="12"/>
        <v/>
      </c>
      <c r="AW41" s="176" t="str">
        <f t="shared" si="78"/>
        <v/>
      </c>
      <c r="AX41" s="216" t="str">
        <f t="shared" si="79"/>
        <v/>
      </c>
      <c r="AY41" s="156" t="str">
        <f t="shared" si="13"/>
        <v/>
      </c>
      <c r="AZ41" s="156" t="str">
        <f t="shared" si="80"/>
        <v/>
      </c>
      <c r="BA41" s="156" t="str">
        <f t="shared" si="81"/>
        <v/>
      </c>
      <c r="BB41" s="175" t="str">
        <f t="shared" si="14"/>
        <v/>
      </c>
      <c r="BC41" s="156" t="str">
        <f t="shared" si="15"/>
        <v/>
      </c>
      <c r="BD41" s="216" t="str">
        <f t="shared" si="16"/>
        <v/>
      </c>
      <c r="BE41" s="216" t="str">
        <f t="shared" si="17"/>
        <v/>
      </c>
      <c r="BF41" s="156" t="str">
        <f t="shared" si="18"/>
        <v/>
      </c>
      <c r="BG41" s="156" t="str">
        <f t="shared" si="96"/>
        <v/>
      </c>
      <c r="BH41" s="156" t="e">
        <f t="shared" si="83"/>
        <v>#VALUE!</v>
      </c>
      <c r="BI41" s="175" t="str">
        <f t="shared" si="19"/>
        <v/>
      </c>
      <c r="BJ41" s="156" t="str">
        <f t="shared" si="20"/>
        <v/>
      </c>
      <c r="BK41" s="176" t="str">
        <f t="shared" si="21"/>
        <v/>
      </c>
      <c r="BL41" s="156" t="str">
        <f t="shared" si="22"/>
        <v/>
      </c>
      <c r="BM41" s="175" t="str">
        <f t="shared" si="23"/>
        <v/>
      </c>
      <c r="BN41" s="156" t="str">
        <f t="shared" si="24"/>
        <v/>
      </c>
      <c r="BO41" s="176" t="str">
        <f t="shared" si="25"/>
        <v/>
      </c>
      <c r="BP41" s="156" t="str">
        <f t="shared" si="26"/>
        <v/>
      </c>
      <c r="BQ41" s="156"/>
      <c r="BR41" s="179"/>
      <c r="BS41" s="155"/>
      <c r="BT41" s="174" t="str">
        <f t="shared" si="27"/>
        <v/>
      </c>
      <c r="BU41" s="155">
        <f t="shared" si="28"/>
        <v>25</v>
      </c>
      <c r="BV41" s="175" t="str">
        <f t="shared" si="29"/>
        <v/>
      </c>
      <c r="BW41" s="156" t="str">
        <f t="shared" si="30"/>
        <v/>
      </c>
      <c r="BX41" s="176" t="str">
        <f t="shared" si="84"/>
        <v/>
      </c>
      <c r="BY41" s="216" t="str">
        <f t="shared" si="85"/>
        <v/>
      </c>
      <c r="BZ41" s="156" t="str">
        <f t="shared" si="31"/>
        <v/>
      </c>
      <c r="CA41" s="156" t="str">
        <f t="shared" si="86"/>
        <v/>
      </c>
      <c r="CB41" s="177" t="str">
        <f t="shared" si="32"/>
        <v/>
      </c>
      <c r="CC41" s="175" t="str">
        <f t="shared" si="33"/>
        <v/>
      </c>
      <c r="CD41" s="156" t="str">
        <f t="shared" si="34"/>
        <v/>
      </c>
      <c r="CE41" s="176" t="str">
        <f t="shared" si="87"/>
        <v/>
      </c>
      <c r="CF41" s="216" t="str">
        <f t="shared" si="88"/>
        <v/>
      </c>
      <c r="CG41" s="156" t="str">
        <f t="shared" si="35"/>
        <v/>
      </c>
      <c r="CH41" s="156" t="str">
        <f t="shared" si="89"/>
        <v/>
      </c>
      <c r="CI41" s="156" t="str">
        <f t="shared" si="90"/>
        <v/>
      </c>
      <c r="CJ41" s="175" t="str">
        <f t="shared" si="36"/>
        <v/>
      </c>
      <c r="CK41" s="156" t="str">
        <f t="shared" si="37"/>
        <v/>
      </c>
      <c r="CL41" s="176" t="str">
        <f t="shared" si="38"/>
        <v/>
      </c>
      <c r="CM41" s="216" t="str">
        <f t="shared" si="91"/>
        <v/>
      </c>
      <c r="CN41" s="156" t="str">
        <f t="shared" si="39"/>
        <v/>
      </c>
      <c r="CO41" s="156" t="str">
        <f t="shared" si="40"/>
        <v/>
      </c>
      <c r="CP41" s="156" t="str">
        <f t="shared" si="92"/>
        <v/>
      </c>
      <c r="CQ41" s="175" t="str">
        <f t="shared" si="41"/>
        <v/>
      </c>
      <c r="CR41" s="156" t="str">
        <f t="shared" si="42"/>
        <v/>
      </c>
      <c r="CS41" s="156" t="str">
        <f t="shared" si="43"/>
        <v/>
      </c>
      <c r="CT41" s="156" t="str">
        <f t="shared" si="44"/>
        <v/>
      </c>
      <c r="CU41" s="175" t="str">
        <f t="shared" si="45"/>
        <v/>
      </c>
      <c r="CV41" s="156" t="str">
        <f t="shared" si="46"/>
        <v/>
      </c>
      <c r="CW41" s="156" t="str">
        <f t="shared" si="47"/>
        <v/>
      </c>
      <c r="CX41" s="156" t="str">
        <f t="shared" si="48"/>
        <v/>
      </c>
      <c r="CY41" s="156"/>
      <c r="CZ41" s="179"/>
      <c r="DA41" s="183"/>
      <c r="DB41" s="174" t="str">
        <f t="shared" si="49"/>
        <v/>
      </c>
      <c r="DC41" s="155">
        <f t="shared" si="95"/>
        <v>25</v>
      </c>
      <c r="DD41" s="175" t="str">
        <f t="shared" si="50"/>
        <v/>
      </c>
      <c r="DE41" s="156" t="str">
        <f t="shared" si="51"/>
        <v/>
      </c>
      <c r="DF41" s="178" t="str">
        <f t="shared" si="52"/>
        <v/>
      </c>
      <c r="DG41" s="177" t="str">
        <f t="shared" si="53"/>
        <v/>
      </c>
      <c r="DH41" s="175" t="str">
        <f t="shared" si="54"/>
        <v/>
      </c>
      <c r="DI41" s="156" t="str">
        <f t="shared" si="55"/>
        <v/>
      </c>
      <c r="DJ41" s="176" t="str">
        <f t="shared" si="56"/>
        <v/>
      </c>
      <c r="DK41" s="156" t="str">
        <f t="shared" si="57"/>
        <v/>
      </c>
      <c r="DL41" s="175" t="str">
        <f t="shared" si="58"/>
        <v/>
      </c>
      <c r="DM41" s="156" t="str">
        <f t="shared" si="59"/>
        <v/>
      </c>
      <c r="DN41" s="176" t="str">
        <f t="shared" si="60"/>
        <v/>
      </c>
      <c r="DO41" s="156" t="str">
        <f t="shared" si="61"/>
        <v/>
      </c>
      <c r="DP41" s="175" t="str">
        <f t="shared" si="62"/>
        <v/>
      </c>
      <c r="DQ41" s="156" t="str">
        <f t="shared" si="63"/>
        <v/>
      </c>
      <c r="DR41" s="156" t="str">
        <f t="shared" si="64"/>
        <v/>
      </c>
      <c r="DS41" s="156" t="str">
        <f t="shared" si="65"/>
        <v/>
      </c>
      <c r="DT41" s="175" t="str">
        <f t="shared" si="66"/>
        <v/>
      </c>
      <c r="DU41" s="156" t="str">
        <f t="shared" si="67"/>
        <v/>
      </c>
      <c r="DV41" s="156" t="str">
        <f t="shared" si="68"/>
        <v/>
      </c>
      <c r="DW41" s="156" t="str">
        <f t="shared" si="69"/>
        <v/>
      </c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</row>
    <row r="42" spans="1:176" ht="12.75" customHeight="1" x14ac:dyDescent="0.15">
      <c r="B42" s="229">
        <f t="shared" si="93"/>
        <v>26</v>
      </c>
      <c r="C42" s="268"/>
      <c r="D42" s="267"/>
      <c r="E42" s="268"/>
      <c r="F42" s="312"/>
      <c r="G42" s="410"/>
      <c r="H42" s="276"/>
      <c r="I42" s="269"/>
      <c r="J42" s="270"/>
      <c r="K42" s="269"/>
      <c r="L42" s="271"/>
      <c r="M42" s="93"/>
      <c r="N42" s="94"/>
      <c r="O42" s="93"/>
      <c r="P42" s="95"/>
      <c r="Q42" s="233"/>
      <c r="R42" s="233"/>
      <c r="S42" s="280" t="str">
        <f t="shared" si="70"/>
        <v/>
      </c>
      <c r="T42" s="278" t="str">
        <f t="shared" si="71"/>
        <v/>
      </c>
      <c r="U42" s="235" t="str">
        <f t="shared" si="72"/>
        <v/>
      </c>
      <c r="V42" s="63" t="str">
        <f t="shared" si="73"/>
        <v/>
      </c>
      <c r="W42" s="64" t="str">
        <f t="shared" si="0"/>
        <v/>
      </c>
      <c r="X42" s="65" t="str">
        <f t="shared" si="1"/>
        <v/>
      </c>
      <c r="Y42" s="284"/>
      <c r="Z42" s="285" t="e">
        <f t="shared" si="74"/>
        <v>#VALUE!</v>
      </c>
      <c r="AA42" s="53"/>
      <c r="AB42" s="41"/>
      <c r="AC42" s="41"/>
      <c r="AD42" s="41"/>
      <c r="AE42" s="41"/>
      <c r="AF42" s="96" t="str">
        <f t="shared" si="2"/>
        <v/>
      </c>
      <c r="AG42" s="96" t="str">
        <f t="shared" si="3"/>
        <v/>
      </c>
      <c r="AH42" s="96" t="str">
        <f t="shared" si="4"/>
        <v/>
      </c>
      <c r="AI42" s="96" t="str">
        <f t="shared" si="97"/>
        <v/>
      </c>
      <c r="AJ42" s="168"/>
      <c r="AK42" s="192">
        <f t="shared" si="94"/>
        <v>26</v>
      </c>
      <c r="AL42" s="174" t="str">
        <f t="shared" si="5"/>
        <v/>
      </c>
      <c r="AM42" s="155">
        <f t="shared" si="6"/>
        <v>26</v>
      </c>
      <c r="AN42" s="175" t="str">
        <f t="shared" si="7"/>
        <v/>
      </c>
      <c r="AO42" s="156" t="str">
        <f t="shared" si="8"/>
        <v/>
      </c>
      <c r="AP42" s="176" t="str">
        <f t="shared" si="75"/>
        <v/>
      </c>
      <c r="AQ42" s="216" t="str">
        <f t="shared" si="76"/>
        <v/>
      </c>
      <c r="AR42" s="178" t="str">
        <f t="shared" si="9"/>
        <v/>
      </c>
      <c r="AS42" s="156" t="str">
        <f t="shared" si="10"/>
        <v/>
      </c>
      <c r="AT42" s="156" t="str">
        <f t="shared" si="77"/>
        <v/>
      </c>
      <c r="AU42" s="175" t="str">
        <f t="shared" si="11"/>
        <v/>
      </c>
      <c r="AV42" s="156" t="str">
        <f t="shared" si="12"/>
        <v/>
      </c>
      <c r="AW42" s="176" t="str">
        <f t="shared" si="78"/>
        <v/>
      </c>
      <c r="AX42" s="216" t="str">
        <f t="shared" si="79"/>
        <v/>
      </c>
      <c r="AY42" s="156" t="str">
        <f t="shared" si="13"/>
        <v/>
      </c>
      <c r="AZ42" s="156" t="str">
        <f t="shared" si="80"/>
        <v/>
      </c>
      <c r="BA42" s="156" t="str">
        <f t="shared" si="81"/>
        <v/>
      </c>
      <c r="BB42" s="175" t="str">
        <f t="shared" si="14"/>
        <v/>
      </c>
      <c r="BC42" s="156" t="str">
        <f t="shared" si="15"/>
        <v/>
      </c>
      <c r="BD42" s="216" t="str">
        <f t="shared" si="16"/>
        <v/>
      </c>
      <c r="BE42" s="216" t="str">
        <f t="shared" si="17"/>
        <v/>
      </c>
      <c r="BF42" s="156" t="str">
        <f t="shared" si="18"/>
        <v/>
      </c>
      <c r="BG42" s="156" t="str">
        <f t="shared" si="96"/>
        <v/>
      </c>
      <c r="BH42" s="156" t="e">
        <f t="shared" si="83"/>
        <v>#VALUE!</v>
      </c>
      <c r="BI42" s="175" t="str">
        <f t="shared" si="19"/>
        <v/>
      </c>
      <c r="BJ42" s="156" t="str">
        <f t="shared" si="20"/>
        <v/>
      </c>
      <c r="BK42" s="176" t="str">
        <f t="shared" si="21"/>
        <v/>
      </c>
      <c r="BL42" s="156" t="str">
        <f t="shared" si="22"/>
        <v/>
      </c>
      <c r="BM42" s="175" t="str">
        <f t="shared" si="23"/>
        <v/>
      </c>
      <c r="BN42" s="156" t="str">
        <f t="shared" si="24"/>
        <v/>
      </c>
      <c r="BO42" s="176" t="str">
        <f t="shared" si="25"/>
        <v/>
      </c>
      <c r="BP42" s="156" t="str">
        <f t="shared" si="26"/>
        <v/>
      </c>
      <c r="BQ42" s="156"/>
      <c r="BR42" s="179"/>
      <c r="BS42" s="155"/>
      <c r="BT42" s="174" t="str">
        <f t="shared" si="27"/>
        <v/>
      </c>
      <c r="BU42" s="155">
        <f t="shared" si="28"/>
        <v>26</v>
      </c>
      <c r="BV42" s="175" t="str">
        <f t="shared" si="29"/>
        <v/>
      </c>
      <c r="BW42" s="156" t="str">
        <f t="shared" si="30"/>
        <v/>
      </c>
      <c r="BX42" s="176" t="str">
        <f t="shared" si="84"/>
        <v/>
      </c>
      <c r="BY42" s="216" t="str">
        <f t="shared" si="85"/>
        <v/>
      </c>
      <c r="BZ42" s="156" t="str">
        <f t="shared" si="31"/>
        <v/>
      </c>
      <c r="CA42" s="156" t="str">
        <f t="shared" si="86"/>
        <v/>
      </c>
      <c r="CB42" s="177" t="str">
        <f t="shared" si="32"/>
        <v/>
      </c>
      <c r="CC42" s="175" t="str">
        <f t="shared" si="33"/>
        <v/>
      </c>
      <c r="CD42" s="156" t="str">
        <f t="shared" si="34"/>
        <v/>
      </c>
      <c r="CE42" s="176" t="str">
        <f t="shared" si="87"/>
        <v/>
      </c>
      <c r="CF42" s="216" t="str">
        <f t="shared" si="88"/>
        <v/>
      </c>
      <c r="CG42" s="156" t="str">
        <f t="shared" si="35"/>
        <v/>
      </c>
      <c r="CH42" s="156" t="str">
        <f t="shared" si="89"/>
        <v/>
      </c>
      <c r="CI42" s="156" t="str">
        <f t="shared" si="90"/>
        <v/>
      </c>
      <c r="CJ42" s="175" t="str">
        <f t="shared" si="36"/>
        <v/>
      </c>
      <c r="CK42" s="156" t="str">
        <f t="shared" si="37"/>
        <v/>
      </c>
      <c r="CL42" s="176" t="str">
        <f t="shared" si="38"/>
        <v/>
      </c>
      <c r="CM42" s="216" t="str">
        <f t="shared" si="91"/>
        <v/>
      </c>
      <c r="CN42" s="156" t="str">
        <f t="shared" si="39"/>
        <v/>
      </c>
      <c r="CO42" s="156" t="str">
        <f t="shared" si="40"/>
        <v/>
      </c>
      <c r="CP42" s="156" t="str">
        <f t="shared" si="92"/>
        <v/>
      </c>
      <c r="CQ42" s="175" t="str">
        <f t="shared" si="41"/>
        <v/>
      </c>
      <c r="CR42" s="156" t="str">
        <f t="shared" si="42"/>
        <v/>
      </c>
      <c r="CS42" s="156" t="str">
        <f t="shared" si="43"/>
        <v/>
      </c>
      <c r="CT42" s="156" t="str">
        <f t="shared" si="44"/>
        <v/>
      </c>
      <c r="CU42" s="175" t="str">
        <f t="shared" si="45"/>
        <v/>
      </c>
      <c r="CV42" s="156" t="str">
        <f t="shared" si="46"/>
        <v/>
      </c>
      <c r="CW42" s="156" t="str">
        <f t="shared" si="47"/>
        <v/>
      </c>
      <c r="CX42" s="156" t="str">
        <f t="shared" si="48"/>
        <v/>
      </c>
      <c r="CY42" s="156"/>
      <c r="CZ42" s="179"/>
      <c r="DA42" s="180"/>
      <c r="DB42" s="174" t="str">
        <f t="shared" si="49"/>
        <v/>
      </c>
      <c r="DC42" s="155">
        <f t="shared" si="95"/>
        <v>26</v>
      </c>
      <c r="DD42" s="175" t="str">
        <f t="shared" si="50"/>
        <v/>
      </c>
      <c r="DE42" s="156" t="str">
        <f t="shared" si="51"/>
        <v/>
      </c>
      <c r="DF42" s="178" t="str">
        <f t="shared" si="52"/>
        <v/>
      </c>
      <c r="DG42" s="177" t="str">
        <f t="shared" si="53"/>
        <v/>
      </c>
      <c r="DH42" s="175" t="str">
        <f t="shared" si="54"/>
        <v/>
      </c>
      <c r="DI42" s="156" t="str">
        <f t="shared" si="55"/>
        <v/>
      </c>
      <c r="DJ42" s="176" t="str">
        <f t="shared" si="56"/>
        <v/>
      </c>
      <c r="DK42" s="156" t="str">
        <f t="shared" si="57"/>
        <v/>
      </c>
      <c r="DL42" s="175" t="str">
        <f t="shared" si="58"/>
        <v/>
      </c>
      <c r="DM42" s="156" t="str">
        <f t="shared" si="59"/>
        <v/>
      </c>
      <c r="DN42" s="176" t="str">
        <f t="shared" si="60"/>
        <v/>
      </c>
      <c r="DO42" s="156" t="str">
        <f t="shared" si="61"/>
        <v/>
      </c>
      <c r="DP42" s="175" t="str">
        <f t="shared" si="62"/>
        <v/>
      </c>
      <c r="DQ42" s="156" t="str">
        <f t="shared" si="63"/>
        <v/>
      </c>
      <c r="DR42" s="156" t="str">
        <f t="shared" si="64"/>
        <v/>
      </c>
      <c r="DS42" s="156" t="str">
        <f t="shared" si="65"/>
        <v/>
      </c>
      <c r="DT42" s="175" t="str">
        <f t="shared" si="66"/>
        <v/>
      </c>
      <c r="DU42" s="156" t="str">
        <f t="shared" si="67"/>
        <v/>
      </c>
      <c r="DV42" s="156" t="str">
        <f t="shared" si="68"/>
        <v/>
      </c>
      <c r="DW42" s="156" t="str">
        <f t="shared" si="69"/>
        <v/>
      </c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</row>
    <row r="43" spans="1:176" ht="12.75" customHeight="1" x14ac:dyDescent="0.15">
      <c r="B43" s="229">
        <f t="shared" si="93"/>
        <v>27</v>
      </c>
      <c r="C43" s="268"/>
      <c r="D43" s="267"/>
      <c r="E43" s="268"/>
      <c r="F43" s="312"/>
      <c r="G43" s="410"/>
      <c r="H43" s="276"/>
      <c r="I43" s="269"/>
      <c r="J43" s="270"/>
      <c r="K43" s="269"/>
      <c r="L43" s="271"/>
      <c r="M43" s="93"/>
      <c r="N43" s="94"/>
      <c r="O43" s="93"/>
      <c r="P43" s="95"/>
      <c r="Q43" s="233"/>
      <c r="R43" s="233"/>
      <c r="S43" s="280" t="str">
        <f t="shared" si="70"/>
        <v/>
      </c>
      <c r="T43" s="278" t="str">
        <f t="shared" si="71"/>
        <v/>
      </c>
      <c r="U43" s="235" t="str">
        <f t="shared" si="72"/>
        <v/>
      </c>
      <c r="V43" s="63" t="str">
        <f t="shared" si="73"/>
        <v/>
      </c>
      <c r="W43" s="64" t="str">
        <f t="shared" si="0"/>
        <v/>
      </c>
      <c r="X43" s="65" t="str">
        <f t="shared" si="1"/>
        <v/>
      </c>
      <c r="Y43" s="284"/>
      <c r="Z43" s="285" t="e">
        <f t="shared" si="74"/>
        <v>#VALUE!</v>
      </c>
      <c r="AA43" s="53"/>
      <c r="AB43" s="41"/>
      <c r="AC43" s="41"/>
      <c r="AD43" s="41"/>
      <c r="AE43" s="41"/>
      <c r="AF43" s="96" t="str">
        <f t="shared" si="2"/>
        <v/>
      </c>
      <c r="AG43" s="96" t="str">
        <f t="shared" si="3"/>
        <v/>
      </c>
      <c r="AH43" s="96" t="str">
        <f t="shared" si="4"/>
        <v/>
      </c>
      <c r="AI43" s="96" t="str">
        <f t="shared" si="97"/>
        <v/>
      </c>
      <c r="AJ43" s="168"/>
      <c r="AK43" s="192">
        <f t="shared" si="94"/>
        <v>27</v>
      </c>
      <c r="AL43" s="174" t="str">
        <f t="shared" si="5"/>
        <v/>
      </c>
      <c r="AM43" s="155">
        <f t="shared" si="6"/>
        <v>27</v>
      </c>
      <c r="AN43" s="175" t="str">
        <f t="shared" si="7"/>
        <v/>
      </c>
      <c r="AO43" s="156" t="str">
        <f t="shared" si="8"/>
        <v/>
      </c>
      <c r="AP43" s="176" t="str">
        <f t="shared" si="75"/>
        <v/>
      </c>
      <c r="AQ43" s="216" t="str">
        <f t="shared" si="76"/>
        <v/>
      </c>
      <c r="AR43" s="178" t="str">
        <f t="shared" si="9"/>
        <v/>
      </c>
      <c r="AS43" s="156" t="str">
        <f t="shared" si="10"/>
        <v/>
      </c>
      <c r="AT43" s="156" t="str">
        <f t="shared" si="77"/>
        <v/>
      </c>
      <c r="AU43" s="175" t="str">
        <f t="shared" si="11"/>
        <v/>
      </c>
      <c r="AV43" s="156" t="str">
        <f t="shared" si="12"/>
        <v/>
      </c>
      <c r="AW43" s="176" t="str">
        <f t="shared" si="78"/>
        <v/>
      </c>
      <c r="AX43" s="216" t="str">
        <f t="shared" si="79"/>
        <v/>
      </c>
      <c r="AY43" s="156" t="str">
        <f t="shared" si="13"/>
        <v/>
      </c>
      <c r="AZ43" s="156" t="str">
        <f t="shared" si="80"/>
        <v/>
      </c>
      <c r="BA43" s="156" t="str">
        <f t="shared" si="81"/>
        <v/>
      </c>
      <c r="BB43" s="175" t="str">
        <f t="shared" si="14"/>
        <v/>
      </c>
      <c r="BC43" s="156" t="str">
        <f t="shared" si="15"/>
        <v/>
      </c>
      <c r="BD43" s="216" t="str">
        <f t="shared" si="16"/>
        <v/>
      </c>
      <c r="BE43" s="216" t="str">
        <f t="shared" si="17"/>
        <v/>
      </c>
      <c r="BF43" s="156" t="str">
        <f t="shared" si="18"/>
        <v/>
      </c>
      <c r="BG43" s="156" t="str">
        <f t="shared" si="96"/>
        <v/>
      </c>
      <c r="BH43" s="156" t="e">
        <f t="shared" si="83"/>
        <v>#VALUE!</v>
      </c>
      <c r="BI43" s="175" t="str">
        <f t="shared" si="19"/>
        <v/>
      </c>
      <c r="BJ43" s="156" t="str">
        <f t="shared" si="20"/>
        <v/>
      </c>
      <c r="BK43" s="176" t="str">
        <f t="shared" si="21"/>
        <v/>
      </c>
      <c r="BL43" s="156" t="str">
        <f t="shared" si="22"/>
        <v/>
      </c>
      <c r="BM43" s="175" t="str">
        <f t="shared" si="23"/>
        <v/>
      </c>
      <c r="BN43" s="156" t="str">
        <f t="shared" si="24"/>
        <v/>
      </c>
      <c r="BO43" s="176" t="str">
        <f t="shared" si="25"/>
        <v/>
      </c>
      <c r="BP43" s="156" t="str">
        <f t="shared" si="26"/>
        <v/>
      </c>
      <c r="BQ43" s="156"/>
      <c r="BR43" s="179"/>
      <c r="BS43" s="155"/>
      <c r="BT43" s="174" t="str">
        <f t="shared" si="27"/>
        <v/>
      </c>
      <c r="BU43" s="155">
        <f t="shared" si="28"/>
        <v>27</v>
      </c>
      <c r="BV43" s="175" t="str">
        <f t="shared" si="29"/>
        <v/>
      </c>
      <c r="BW43" s="156" t="str">
        <f t="shared" si="30"/>
        <v/>
      </c>
      <c r="BX43" s="176" t="str">
        <f t="shared" si="84"/>
        <v/>
      </c>
      <c r="BY43" s="216" t="str">
        <f t="shared" si="85"/>
        <v/>
      </c>
      <c r="BZ43" s="156" t="str">
        <f t="shared" si="31"/>
        <v/>
      </c>
      <c r="CA43" s="156" t="str">
        <f t="shared" si="86"/>
        <v/>
      </c>
      <c r="CB43" s="177" t="str">
        <f t="shared" si="32"/>
        <v/>
      </c>
      <c r="CC43" s="175" t="str">
        <f t="shared" si="33"/>
        <v/>
      </c>
      <c r="CD43" s="156" t="str">
        <f t="shared" si="34"/>
        <v/>
      </c>
      <c r="CE43" s="176" t="str">
        <f t="shared" si="87"/>
        <v/>
      </c>
      <c r="CF43" s="216" t="str">
        <f t="shared" si="88"/>
        <v/>
      </c>
      <c r="CG43" s="156" t="str">
        <f t="shared" si="35"/>
        <v/>
      </c>
      <c r="CH43" s="156" t="str">
        <f t="shared" si="89"/>
        <v/>
      </c>
      <c r="CI43" s="156" t="str">
        <f t="shared" si="90"/>
        <v/>
      </c>
      <c r="CJ43" s="175" t="str">
        <f t="shared" si="36"/>
        <v/>
      </c>
      <c r="CK43" s="156" t="str">
        <f t="shared" si="37"/>
        <v/>
      </c>
      <c r="CL43" s="176" t="str">
        <f t="shared" si="38"/>
        <v/>
      </c>
      <c r="CM43" s="216" t="str">
        <f t="shared" si="91"/>
        <v/>
      </c>
      <c r="CN43" s="156" t="str">
        <f t="shared" si="39"/>
        <v/>
      </c>
      <c r="CO43" s="156" t="str">
        <f t="shared" si="40"/>
        <v/>
      </c>
      <c r="CP43" s="156" t="str">
        <f t="shared" si="92"/>
        <v/>
      </c>
      <c r="CQ43" s="175" t="str">
        <f t="shared" si="41"/>
        <v/>
      </c>
      <c r="CR43" s="156" t="str">
        <f t="shared" si="42"/>
        <v/>
      </c>
      <c r="CS43" s="156" t="str">
        <f t="shared" si="43"/>
        <v/>
      </c>
      <c r="CT43" s="156" t="str">
        <f t="shared" si="44"/>
        <v/>
      </c>
      <c r="CU43" s="175" t="str">
        <f t="shared" si="45"/>
        <v/>
      </c>
      <c r="CV43" s="156" t="str">
        <f t="shared" si="46"/>
        <v/>
      </c>
      <c r="CW43" s="156" t="str">
        <f t="shared" si="47"/>
        <v/>
      </c>
      <c r="CX43" s="156" t="str">
        <f t="shared" si="48"/>
        <v/>
      </c>
      <c r="CY43" s="156"/>
      <c r="CZ43" s="179"/>
      <c r="DA43" s="155"/>
      <c r="DB43" s="174" t="str">
        <f t="shared" si="49"/>
        <v/>
      </c>
      <c r="DC43" s="155">
        <f t="shared" si="95"/>
        <v>27</v>
      </c>
      <c r="DD43" s="175" t="str">
        <f t="shared" si="50"/>
        <v/>
      </c>
      <c r="DE43" s="156" t="str">
        <f t="shared" si="51"/>
        <v/>
      </c>
      <c r="DF43" s="178" t="str">
        <f t="shared" si="52"/>
        <v/>
      </c>
      <c r="DG43" s="177" t="str">
        <f t="shared" si="53"/>
        <v/>
      </c>
      <c r="DH43" s="175" t="str">
        <f t="shared" si="54"/>
        <v/>
      </c>
      <c r="DI43" s="156" t="str">
        <f t="shared" si="55"/>
        <v/>
      </c>
      <c r="DJ43" s="176" t="str">
        <f t="shared" si="56"/>
        <v/>
      </c>
      <c r="DK43" s="156" t="str">
        <f t="shared" si="57"/>
        <v/>
      </c>
      <c r="DL43" s="175" t="str">
        <f t="shared" si="58"/>
        <v/>
      </c>
      <c r="DM43" s="156" t="str">
        <f t="shared" si="59"/>
        <v/>
      </c>
      <c r="DN43" s="176" t="str">
        <f t="shared" si="60"/>
        <v/>
      </c>
      <c r="DO43" s="156" t="str">
        <f t="shared" si="61"/>
        <v/>
      </c>
      <c r="DP43" s="175" t="str">
        <f t="shared" si="62"/>
        <v/>
      </c>
      <c r="DQ43" s="156" t="str">
        <f t="shared" si="63"/>
        <v/>
      </c>
      <c r="DR43" s="156" t="str">
        <f t="shared" si="64"/>
        <v/>
      </c>
      <c r="DS43" s="156" t="str">
        <f t="shared" si="65"/>
        <v/>
      </c>
      <c r="DT43" s="175" t="str">
        <f t="shared" si="66"/>
        <v/>
      </c>
      <c r="DU43" s="156" t="str">
        <f t="shared" si="67"/>
        <v/>
      </c>
      <c r="DV43" s="156" t="str">
        <f t="shared" si="68"/>
        <v/>
      </c>
      <c r="DW43" s="156" t="str">
        <f t="shared" si="69"/>
        <v/>
      </c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</row>
    <row r="44" spans="1:176" ht="12.75" customHeight="1" x14ac:dyDescent="0.15">
      <c r="B44" s="229">
        <f t="shared" si="93"/>
        <v>28</v>
      </c>
      <c r="C44" s="268"/>
      <c r="D44" s="267"/>
      <c r="E44" s="268"/>
      <c r="F44" s="312"/>
      <c r="G44" s="410"/>
      <c r="H44" s="276"/>
      <c r="I44" s="269"/>
      <c r="J44" s="270"/>
      <c r="K44" s="269"/>
      <c r="L44" s="271"/>
      <c r="M44" s="93"/>
      <c r="N44" s="94"/>
      <c r="O44" s="93"/>
      <c r="P44" s="95"/>
      <c r="Q44" s="233"/>
      <c r="R44" s="233"/>
      <c r="S44" s="280" t="str">
        <f t="shared" si="70"/>
        <v/>
      </c>
      <c r="T44" s="278" t="str">
        <f t="shared" si="71"/>
        <v/>
      </c>
      <c r="U44" s="235" t="str">
        <f t="shared" si="72"/>
        <v/>
      </c>
      <c r="V44" s="63" t="str">
        <f t="shared" si="73"/>
        <v/>
      </c>
      <c r="W44" s="64" t="str">
        <f t="shared" si="0"/>
        <v/>
      </c>
      <c r="X44" s="65" t="str">
        <f t="shared" si="1"/>
        <v/>
      </c>
      <c r="Y44" s="284"/>
      <c r="Z44" s="285" t="e">
        <f t="shared" si="74"/>
        <v>#VALUE!</v>
      </c>
      <c r="AA44" s="53"/>
      <c r="AB44" s="41"/>
      <c r="AC44" s="41"/>
      <c r="AD44" s="41"/>
      <c r="AE44" s="41"/>
      <c r="AF44" s="96" t="str">
        <f t="shared" si="2"/>
        <v/>
      </c>
      <c r="AG44" s="96" t="str">
        <f t="shared" si="3"/>
        <v/>
      </c>
      <c r="AH44" s="96" t="str">
        <f t="shared" si="4"/>
        <v/>
      </c>
      <c r="AI44" s="96" t="str">
        <f t="shared" si="97"/>
        <v/>
      </c>
      <c r="AJ44" s="168"/>
      <c r="AK44" s="192">
        <f t="shared" si="94"/>
        <v>28</v>
      </c>
      <c r="AL44" s="174" t="str">
        <f t="shared" si="5"/>
        <v/>
      </c>
      <c r="AM44" s="155">
        <f t="shared" si="6"/>
        <v>28</v>
      </c>
      <c r="AN44" s="175" t="str">
        <f t="shared" si="7"/>
        <v/>
      </c>
      <c r="AO44" s="156" t="str">
        <f t="shared" si="8"/>
        <v/>
      </c>
      <c r="AP44" s="176" t="str">
        <f t="shared" si="75"/>
        <v/>
      </c>
      <c r="AQ44" s="216" t="str">
        <f t="shared" si="76"/>
        <v/>
      </c>
      <c r="AR44" s="178" t="str">
        <f t="shared" si="9"/>
        <v/>
      </c>
      <c r="AS44" s="156" t="str">
        <f t="shared" si="10"/>
        <v/>
      </c>
      <c r="AT44" s="156" t="str">
        <f t="shared" si="77"/>
        <v/>
      </c>
      <c r="AU44" s="175" t="str">
        <f t="shared" si="11"/>
        <v/>
      </c>
      <c r="AV44" s="156" t="str">
        <f t="shared" si="12"/>
        <v/>
      </c>
      <c r="AW44" s="176" t="str">
        <f t="shared" si="78"/>
        <v/>
      </c>
      <c r="AX44" s="216" t="str">
        <f t="shared" si="79"/>
        <v/>
      </c>
      <c r="AY44" s="156" t="str">
        <f t="shared" si="13"/>
        <v/>
      </c>
      <c r="AZ44" s="156" t="str">
        <f t="shared" si="80"/>
        <v/>
      </c>
      <c r="BA44" s="156" t="str">
        <f t="shared" si="81"/>
        <v/>
      </c>
      <c r="BB44" s="175" t="str">
        <f t="shared" si="14"/>
        <v/>
      </c>
      <c r="BC44" s="156" t="str">
        <f t="shared" si="15"/>
        <v/>
      </c>
      <c r="BD44" s="216" t="str">
        <f t="shared" si="16"/>
        <v/>
      </c>
      <c r="BE44" s="216" t="str">
        <f t="shared" si="17"/>
        <v/>
      </c>
      <c r="BF44" s="156" t="str">
        <f t="shared" si="18"/>
        <v/>
      </c>
      <c r="BG44" s="156" t="str">
        <f t="shared" si="96"/>
        <v/>
      </c>
      <c r="BH44" s="156" t="e">
        <f t="shared" si="83"/>
        <v>#VALUE!</v>
      </c>
      <c r="BI44" s="175" t="str">
        <f t="shared" si="19"/>
        <v/>
      </c>
      <c r="BJ44" s="156" t="str">
        <f t="shared" si="20"/>
        <v/>
      </c>
      <c r="BK44" s="176" t="str">
        <f t="shared" si="21"/>
        <v/>
      </c>
      <c r="BL44" s="156" t="str">
        <f t="shared" si="22"/>
        <v/>
      </c>
      <c r="BM44" s="175" t="str">
        <f t="shared" si="23"/>
        <v/>
      </c>
      <c r="BN44" s="156" t="str">
        <f t="shared" si="24"/>
        <v/>
      </c>
      <c r="BO44" s="176" t="str">
        <f t="shared" si="25"/>
        <v/>
      </c>
      <c r="BP44" s="156" t="str">
        <f t="shared" si="26"/>
        <v/>
      </c>
      <c r="BQ44" s="156"/>
      <c r="BR44" s="179"/>
      <c r="BS44" s="155"/>
      <c r="BT44" s="174" t="str">
        <f t="shared" si="27"/>
        <v/>
      </c>
      <c r="BU44" s="155">
        <f t="shared" si="28"/>
        <v>28</v>
      </c>
      <c r="BV44" s="175" t="str">
        <f t="shared" si="29"/>
        <v/>
      </c>
      <c r="BW44" s="156" t="str">
        <f t="shared" si="30"/>
        <v/>
      </c>
      <c r="BX44" s="176" t="str">
        <f t="shared" si="84"/>
        <v/>
      </c>
      <c r="BY44" s="216" t="str">
        <f t="shared" si="85"/>
        <v/>
      </c>
      <c r="BZ44" s="156" t="str">
        <f t="shared" si="31"/>
        <v/>
      </c>
      <c r="CA44" s="156" t="str">
        <f t="shared" si="86"/>
        <v/>
      </c>
      <c r="CB44" s="177" t="str">
        <f t="shared" si="32"/>
        <v/>
      </c>
      <c r="CC44" s="175" t="str">
        <f t="shared" si="33"/>
        <v/>
      </c>
      <c r="CD44" s="156" t="str">
        <f t="shared" si="34"/>
        <v/>
      </c>
      <c r="CE44" s="176" t="str">
        <f t="shared" si="87"/>
        <v/>
      </c>
      <c r="CF44" s="216" t="str">
        <f t="shared" si="88"/>
        <v/>
      </c>
      <c r="CG44" s="156" t="str">
        <f t="shared" si="35"/>
        <v/>
      </c>
      <c r="CH44" s="156" t="str">
        <f t="shared" si="89"/>
        <v/>
      </c>
      <c r="CI44" s="156" t="str">
        <f t="shared" si="90"/>
        <v/>
      </c>
      <c r="CJ44" s="175" t="str">
        <f t="shared" si="36"/>
        <v/>
      </c>
      <c r="CK44" s="156" t="str">
        <f t="shared" si="37"/>
        <v/>
      </c>
      <c r="CL44" s="176" t="str">
        <f t="shared" si="38"/>
        <v/>
      </c>
      <c r="CM44" s="216" t="str">
        <f t="shared" si="91"/>
        <v/>
      </c>
      <c r="CN44" s="156" t="str">
        <f t="shared" si="39"/>
        <v/>
      </c>
      <c r="CO44" s="156" t="str">
        <f t="shared" si="40"/>
        <v/>
      </c>
      <c r="CP44" s="156" t="str">
        <f t="shared" si="92"/>
        <v/>
      </c>
      <c r="CQ44" s="175" t="str">
        <f t="shared" si="41"/>
        <v/>
      </c>
      <c r="CR44" s="156" t="str">
        <f t="shared" si="42"/>
        <v/>
      </c>
      <c r="CS44" s="156" t="str">
        <f t="shared" si="43"/>
        <v/>
      </c>
      <c r="CT44" s="156" t="str">
        <f t="shared" si="44"/>
        <v/>
      </c>
      <c r="CU44" s="175" t="str">
        <f t="shared" si="45"/>
        <v/>
      </c>
      <c r="CV44" s="156" t="str">
        <f t="shared" si="46"/>
        <v/>
      </c>
      <c r="CW44" s="156" t="str">
        <f t="shared" si="47"/>
        <v/>
      </c>
      <c r="CX44" s="156" t="str">
        <f t="shared" si="48"/>
        <v/>
      </c>
      <c r="CY44" s="156"/>
      <c r="CZ44" s="179"/>
      <c r="DA44" s="155"/>
      <c r="DB44" s="174" t="str">
        <f t="shared" si="49"/>
        <v/>
      </c>
      <c r="DC44" s="155">
        <f t="shared" si="95"/>
        <v>28</v>
      </c>
      <c r="DD44" s="175" t="str">
        <f t="shared" si="50"/>
        <v/>
      </c>
      <c r="DE44" s="156" t="str">
        <f t="shared" si="51"/>
        <v/>
      </c>
      <c r="DF44" s="178" t="str">
        <f t="shared" si="52"/>
        <v/>
      </c>
      <c r="DG44" s="177" t="str">
        <f t="shared" si="53"/>
        <v/>
      </c>
      <c r="DH44" s="175" t="str">
        <f t="shared" si="54"/>
        <v/>
      </c>
      <c r="DI44" s="156" t="str">
        <f t="shared" si="55"/>
        <v/>
      </c>
      <c r="DJ44" s="176" t="str">
        <f t="shared" si="56"/>
        <v/>
      </c>
      <c r="DK44" s="156" t="str">
        <f t="shared" si="57"/>
        <v/>
      </c>
      <c r="DL44" s="175" t="str">
        <f t="shared" si="58"/>
        <v/>
      </c>
      <c r="DM44" s="156" t="str">
        <f t="shared" si="59"/>
        <v/>
      </c>
      <c r="DN44" s="176" t="str">
        <f t="shared" si="60"/>
        <v/>
      </c>
      <c r="DO44" s="156" t="str">
        <f t="shared" si="61"/>
        <v/>
      </c>
      <c r="DP44" s="175" t="str">
        <f t="shared" si="62"/>
        <v/>
      </c>
      <c r="DQ44" s="156" t="str">
        <f t="shared" si="63"/>
        <v/>
      </c>
      <c r="DR44" s="156" t="str">
        <f t="shared" si="64"/>
        <v/>
      </c>
      <c r="DS44" s="156" t="str">
        <f t="shared" si="65"/>
        <v/>
      </c>
      <c r="DT44" s="175" t="str">
        <f t="shared" si="66"/>
        <v/>
      </c>
      <c r="DU44" s="156" t="str">
        <f t="shared" si="67"/>
        <v/>
      </c>
      <c r="DV44" s="156" t="str">
        <f t="shared" si="68"/>
        <v/>
      </c>
      <c r="DW44" s="156" t="str">
        <f t="shared" si="69"/>
        <v/>
      </c>
    </row>
    <row r="45" spans="1:176" ht="12.75" customHeight="1" x14ac:dyDescent="0.15">
      <c r="B45" s="229">
        <f t="shared" si="93"/>
        <v>29</v>
      </c>
      <c r="C45" s="268"/>
      <c r="D45" s="267"/>
      <c r="E45" s="268"/>
      <c r="F45" s="312"/>
      <c r="G45" s="410"/>
      <c r="H45" s="276"/>
      <c r="I45" s="269"/>
      <c r="J45" s="270"/>
      <c r="K45" s="269"/>
      <c r="L45" s="282"/>
      <c r="M45" s="93"/>
      <c r="N45" s="94"/>
      <c r="O45" s="93"/>
      <c r="P45" s="95"/>
      <c r="Q45" s="283"/>
      <c r="R45" s="283"/>
      <c r="S45" s="280" t="str">
        <f t="shared" si="70"/>
        <v/>
      </c>
      <c r="T45" s="278" t="str">
        <f t="shared" si="71"/>
        <v/>
      </c>
      <c r="U45" s="235" t="str">
        <f t="shared" si="72"/>
        <v/>
      </c>
      <c r="V45" s="63" t="str">
        <f t="shared" si="73"/>
        <v/>
      </c>
      <c r="W45" s="64" t="str">
        <f t="shared" si="0"/>
        <v/>
      </c>
      <c r="X45" s="65" t="str">
        <f t="shared" si="1"/>
        <v/>
      </c>
      <c r="Y45" s="284"/>
      <c r="Z45" s="285" t="e">
        <f t="shared" si="74"/>
        <v>#VALUE!</v>
      </c>
      <c r="AA45" s="53"/>
      <c r="AB45" s="41"/>
      <c r="AC45" s="41"/>
      <c r="AD45" s="41"/>
      <c r="AE45" s="41"/>
      <c r="AF45" s="96" t="str">
        <f t="shared" si="2"/>
        <v/>
      </c>
      <c r="AG45" s="96" t="str">
        <f t="shared" si="3"/>
        <v/>
      </c>
      <c r="AH45" s="96" t="str">
        <f t="shared" si="4"/>
        <v/>
      </c>
      <c r="AI45" s="96" t="str">
        <f t="shared" si="97"/>
        <v/>
      </c>
      <c r="AJ45" s="168"/>
      <c r="AK45" s="192">
        <f t="shared" si="94"/>
        <v>29</v>
      </c>
      <c r="AL45" s="174" t="str">
        <f t="shared" si="5"/>
        <v/>
      </c>
      <c r="AM45" s="155">
        <f t="shared" si="6"/>
        <v>29</v>
      </c>
      <c r="AN45" s="175" t="str">
        <f t="shared" si="7"/>
        <v/>
      </c>
      <c r="AO45" s="156" t="str">
        <f t="shared" si="8"/>
        <v/>
      </c>
      <c r="AP45" s="176" t="str">
        <f t="shared" si="75"/>
        <v/>
      </c>
      <c r="AQ45" s="216" t="str">
        <f t="shared" si="76"/>
        <v/>
      </c>
      <c r="AR45" s="178" t="str">
        <f t="shared" si="9"/>
        <v/>
      </c>
      <c r="AS45" s="156" t="str">
        <f t="shared" si="10"/>
        <v/>
      </c>
      <c r="AT45" s="156" t="str">
        <f t="shared" si="77"/>
        <v/>
      </c>
      <c r="AU45" s="175" t="str">
        <f t="shared" si="11"/>
        <v/>
      </c>
      <c r="AV45" s="156" t="str">
        <f t="shared" si="12"/>
        <v/>
      </c>
      <c r="AW45" s="176" t="str">
        <f t="shared" si="78"/>
        <v/>
      </c>
      <c r="AX45" s="216" t="str">
        <f t="shared" si="79"/>
        <v/>
      </c>
      <c r="AY45" s="156" t="str">
        <f t="shared" si="13"/>
        <v/>
      </c>
      <c r="AZ45" s="156" t="str">
        <f t="shared" si="80"/>
        <v/>
      </c>
      <c r="BA45" s="156" t="str">
        <f t="shared" si="81"/>
        <v/>
      </c>
      <c r="BB45" s="175" t="str">
        <f t="shared" si="14"/>
        <v/>
      </c>
      <c r="BC45" s="156" t="str">
        <f t="shared" si="15"/>
        <v/>
      </c>
      <c r="BD45" s="216" t="str">
        <f t="shared" si="16"/>
        <v/>
      </c>
      <c r="BE45" s="216" t="str">
        <f t="shared" si="17"/>
        <v/>
      </c>
      <c r="BF45" s="156" t="str">
        <f t="shared" si="18"/>
        <v/>
      </c>
      <c r="BG45" s="156" t="str">
        <f t="shared" si="96"/>
        <v/>
      </c>
      <c r="BH45" s="156"/>
      <c r="BI45" s="175" t="str">
        <f t="shared" si="19"/>
        <v/>
      </c>
      <c r="BJ45" s="156" t="str">
        <f t="shared" si="20"/>
        <v/>
      </c>
      <c r="BK45" s="176" t="str">
        <f t="shared" si="21"/>
        <v/>
      </c>
      <c r="BL45" s="156" t="str">
        <f t="shared" si="22"/>
        <v/>
      </c>
      <c r="BM45" s="175" t="str">
        <f t="shared" si="23"/>
        <v/>
      </c>
      <c r="BN45" s="156" t="str">
        <f t="shared" si="24"/>
        <v/>
      </c>
      <c r="BO45" s="176" t="str">
        <f t="shared" si="25"/>
        <v/>
      </c>
      <c r="BP45" s="156" t="str">
        <f t="shared" si="26"/>
        <v/>
      </c>
      <c r="BQ45" s="156"/>
      <c r="BR45" s="179"/>
      <c r="BS45" s="155"/>
      <c r="BT45" s="174" t="str">
        <f t="shared" si="27"/>
        <v/>
      </c>
      <c r="BU45" s="155">
        <f t="shared" si="28"/>
        <v>29</v>
      </c>
      <c r="BV45" s="175" t="str">
        <f t="shared" si="29"/>
        <v/>
      </c>
      <c r="BW45" s="156" t="str">
        <f t="shared" si="30"/>
        <v/>
      </c>
      <c r="BX45" s="176" t="str">
        <f t="shared" si="84"/>
        <v/>
      </c>
      <c r="BY45" s="216" t="str">
        <f t="shared" si="85"/>
        <v/>
      </c>
      <c r="BZ45" s="156" t="str">
        <f t="shared" si="31"/>
        <v/>
      </c>
      <c r="CA45" s="156" t="str">
        <f t="shared" si="86"/>
        <v/>
      </c>
      <c r="CB45" s="177" t="str">
        <f t="shared" si="32"/>
        <v/>
      </c>
      <c r="CC45" s="175" t="str">
        <f t="shared" si="33"/>
        <v/>
      </c>
      <c r="CD45" s="156" t="str">
        <f t="shared" si="34"/>
        <v/>
      </c>
      <c r="CE45" s="176" t="str">
        <f t="shared" si="87"/>
        <v/>
      </c>
      <c r="CF45" s="216" t="str">
        <f t="shared" si="88"/>
        <v/>
      </c>
      <c r="CG45" s="156" t="str">
        <f t="shared" si="35"/>
        <v/>
      </c>
      <c r="CH45" s="156" t="str">
        <f t="shared" si="89"/>
        <v/>
      </c>
      <c r="CI45" s="156" t="str">
        <f t="shared" si="90"/>
        <v/>
      </c>
      <c r="CJ45" s="175" t="str">
        <f t="shared" si="36"/>
        <v/>
      </c>
      <c r="CK45" s="156" t="str">
        <f t="shared" si="37"/>
        <v/>
      </c>
      <c r="CL45" s="176" t="str">
        <f t="shared" si="38"/>
        <v/>
      </c>
      <c r="CM45" s="216" t="str">
        <f t="shared" si="91"/>
        <v/>
      </c>
      <c r="CN45" s="156" t="str">
        <f t="shared" si="39"/>
        <v/>
      </c>
      <c r="CO45" s="156" t="str">
        <f t="shared" si="40"/>
        <v/>
      </c>
      <c r="CP45" s="156" t="str">
        <f t="shared" si="92"/>
        <v/>
      </c>
      <c r="CQ45" s="175" t="str">
        <f t="shared" si="41"/>
        <v/>
      </c>
      <c r="CR45" s="156" t="str">
        <f t="shared" si="42"/>
        <v/>
      </c>
      <c r="CS45" s="156" t="str">
        <f t="shared" si="43"/>
        <v/>
      </c>
      <c r="CT45" s="156" t="str">
        <f t="shared" si="44"/>
        <v/>
      </c>
      <c r="CU45" s="175" t="str">
        <f t="shared" si="45"/>
        <v/>
      </c>
      <c r="CV45" s="156" t="str">
        <f t="shared" si="46"/>
        <v/>
      </c>
      <c r="CW45" s="156" t="str">
        <f t="shared" si="47"/>
        <v/>
      </c>
      <c r="CX45" s="156" t="str">
        <f t="shared" si="48"/>
        <v/>
      </c>
      <c r="CY45" s="156"/>
      <c r="CZ45" s="179"/>
      <c r="DA45" s="155"/>
      <c r="DB45" s="174" t="str">
        <f t="shared" si="49"/>
        <v/>
      </c>
      <c r="DC45" s="155">
        <f t="shared" si="95"/>
        <v>29</v>
      </c>
      <c r="DD45" s="175" t="str">
        <f t="shared" si="50"/>
        <v/>
      </c>
      <c r="DE45" s="156" t="str">
        <f t="shared" si="51"/>
        <v/>
      </c>
      <c r="DF45" s="178" t="str">
        <f t="shared" si="52"/>
        <v/>
      </c>
      <c r="DG45" s="177" t="str">
        <f t="shared" si="53"/>
        <v/>
      </c>
      <c r="DH45" s="175" t="str">
        <f t="shared" si="54"/>
        <v/>
      </c>
      <c r="DI45" s="156" t="str">
        <f t="shared" si="55"/>
        <v/>
      </c>
      <c r="DJ45" s="176" t="str">
        <f t="shared" si="56"/>
        <v/>
      </c>
      <c r="DK45" s="156" t="str">
        <f t="shared" si="57"/>
        <v/>
      </c>
      <c r="DL45" s="175" t="str">
        <f t="shared" si="58"/>
        <v/>
      </c>
      <c r="DM45" s="156" t="str">
        <f t="shared" si="59"/>
        <v/>
      </c>
      <c r="DN45" s="176" t="str">
        <f t="shared" si="60"/>
        <v/>
      </c>
      <c r="DO45" s="156" t="str">
        <f t="shared" si="61"/>
        <v/>
      </c>
      <c r="DP45" s="175" t="str">
        <f t="shared" si="62"/>
        <v/>
      </c>
      <c r="DQ45" s="156" t="str">
        <f t="shared" si="63"/>
        <v/>
      </c>
      <c r="DR45" s="156" t="str">
        <f t="shared" si="64"/>
        <v/>
      </c>
      <c r="DS45" s="156" t="str">
        <f t="shared" si="65"/>
        <v/>
      </c>
      <c r="DT45" s="175" t="str">
        <f t="shared" si="66"/>
        <v/>
      </c>
      <c r="DU45" s="156" t="str">
        <f t="shared" si="67"/>
        <v/>
      </c>
      <c r="DV45" s="156" t="str">
        <f t="shared" si="68"/>
        <v/>
      </c>
      <c r="DW45" s="156" t="str">
        <f t="shared" si="69"/>
        <v/>
      </c>
    </row>
    <row r="46" spans="1:176" s="87" customFormat="1" ht="12.75" customHeight="1" thickBot="1" x14ac:dyDescent="0.2">
      <c r="A46" s="53"/>
      <c r="B46" s="229">
        <f t="shared" si="93"/>
        <v>30</v>
      </c>
      <c r="C46" s="268"/>
      <c r="D46" s="267"/>
      <c r="E46" s="268"/>
      <c r="F46" s="312"/>
      <c r="G46" s="410"/>
      <c r="H46" s="276"/>
      <c r="I46" s="269"/>
      <c r="J46" s="270"/>
      <c r="K46" s="269"/>
      <c r="L46" s="282"/>
      <c r="M46" s="93"/>
      <c r="N46" s="94"/>
      <c r="O46" s="93"/>
      <c r="P46" s="95"/>
      <c r="Q46" s="283"/>
      <c r="R46" s="283"/>
      <c r="S46" s="280" t="str">
        <f t="shared" si="70"/>
        <v/>
      </c>
      <c r="T46" s="278" t="str">
        <f t="shared" si="71"/>
        <v/>
      </c>
      <c r="U46" s="235" t="str">
        <f t="shared" si="72"/>
        <v/>
      </c>
      <c r="V46" s="63" t="str">
        <f t="shared" si="73"/>
        <v/>
      </c>
      <c r="W46" s="64" t="str">
        <f t="shared" si="0"/>
        <v/>
      </c>
      <c r="X46" s="65" t="str">
        <f t="shared" si="1"/>
        <v/>
      </c>
      <c r="Y46" s="284"/>
      <c r="Z46" s="285" t="e">
        <f t="shared" si="74"/>
        <v>#VALUE!</v>
      </c>
      <c r="AA46" s="53"/>
      <c r="AB46" s="41"/>
      <c r="AC46" s="41"/>
      <c r="AD46" s="41"/>
      <c r="AE46" s="41"/>
      <c r="AF46" s="96" t="str">
        <f t="shared" si="2"/>
        <v/>
      </c>
      <c r="AG46" s="96" t="str">
        <f t="shared" si="3"/>
        <v/>
      </c>
      <c r="AH46" s="96" t="str">
        <f t="shared" si="4"/>
        <v/>
      </c>
      <c r="AI46" s="96" t="str">
        <f t="shared" si="97"/>
        <v/>
      </c>
      <c r="AJ46" s="168"/>
      <c r="AK46" s="193">
        <f t="shared" si="94"/>
        <v>30</v>
      </c>
      <c r="AL46" s="184" t="str">
        <f t="shared" si="5"/>
        <v/>
      </c>
      <c r="AM46" s="185">
        <f t="shared" si="6"/>
        <v>30</v>
      </c>
      <c r="AN46" s="186" t="str">
        <f t="shared" si="7"/>
        <v/>
      </c>
      <c r="AO46" s="160" t="str">
        <f t="shared" si="8"/>
        <v/>
      </c>
      <c r="AP46" s="176" t="str">
        <f t="shared" si="75"/>
        <v/>
      </c>
      <c r="AQ46" s="216" t="str">
        <f t="shared" si="76"/>
        <v/>
      </c>
      <c r="AR46" s="189" t="str">
        <f t="shared" si="9"/>
        <v/>
      </c>
      <c r="AS46" s="156" t="str">
        <f t="shared" si="10"/>
        <v/>
      </c>
      <c r="AT46" s="156" t="str">
        <f t="shared" si="77"/>
        <v/>
      </c>
      <c r="AU46" s="186" t="str">
        <f t="shared" si="11"/>
        <v/>
      </c>
      <c r="AV46" s="160" t="str">
        <f t="shared" si="12"/>
        <v/>
      </c>
      <c r="AW46" s="176" t="str">
        <f t="shared" si="78"/>
        <v/>
      </c>
      <c r="AX46" s="216" t="str">
        <f t="shared" si="79"/>
        <v/>
      </c>
      <c r="AY46" s="160" t="str">
        <f t="shared" si="13"/>
        <v/>
      </c>
      <c r="AZ46" s="156" t="str">
        <f t="shared" si="80"/>
        <v/>
      </c>
      <c r="BA46" s="156" t="str">
        <f t="shared" si="81"/>
        <v/>
      </c>
      <c r="BB46" s="186" t="str">
        <f t="shared" si="14"/>
        <v/>
      </c>
      <c r="BC46" s="160" t="str">
        <f t="shared" si="15"/>
        <v/>
      </c>
      <c r="BD46" s="216" t="str">
        <f t="shared" si="16"/>
        <v/>
      </c>
      <c r="BE46" s="216" t="str">
        <f t="shared" si="17"/>
        <v/>
      </c>
      <c r="BF46" s="160" t="str">
        <f t="shared" si="18"/>
        <v/>
      </c>
      <c r="BG46" s="156" t="str">
        <f t="shared" si="96"/>
        <v/>
      </c>
      <c r="BH46" s="160"/>
      <c r="BI46" s="186" t="str">
        <f t="shared" si="19"/>
        <v/>
      </c>
      <c r="BJ46" s="160" t="str">
        <f t="shared" si="20"/>
        <v/>
      </c>
      <c r="BK46" s="187" t="str">
        <f t="shared" si="21"/>
        <v/>
      </c>
      <c r="BL46" s="160" t="str">
        <f t="shared" si="22"/>
        <v/>
      </c>
      <c r="BM46" s="186" t="str">
        <f t="shared" si="23"/>
        <v/>
      </c>
      <c r="BN46" s="160" t="str">
        <f t="shared" si="24"/>
        <v/>
      </c>
      <c r="BO46" s="187" t="str">
        <f t="shared" si="25"/>
        <v/>
      </c>
      <c r="BP46" s="160" t="str">
        <f t="shared" si="26"/>
        <v/>
      </c>
      <c r="BQ46" s="160"/>
      <c r="BR46" s="190"/>
      <c r="BS46" s="185"/>
      <c r="BT46" s="184" t="str">
        <f t="shared" si="27"/>
        <v/>
      </c>
      <c r="BU46" s="185">
        <f t="shared" si="28"/>
        <v>30</v>
      </c>
      <c r="BV46" s="186" t="str">
        <f t="shared" si="29"/>
        <v/>
      </c>
      <c r="BW46" s="160" t="str">
        <f t="shared" si="30"/>
        <v/>
      </c>
      <c r="BX46" s="176" t="str">
        <f t="shared" si="84"/>
        <v/>
      </c>
      <c r="BY46" s="216" t="str">
        <f>+IF($AL46="","",IF(AND(BV46=2,BW46=4),+(($N46/VLOOKUP($AL46,$E$66:$E$68,1))),""))</f>
        <v/>
      </c>
      <c r="BZ46" s="156" t="str">
        <f t="shared" si="31"/>
        <v/>
      </c>
      <c r="CA46" s="156" t="str">
        <f t="shared" si="86"/>
        <v/>
      </c>
      <c r="CB46" s="188" t="str">
        <f t="shared" si="32"/>
        <v/>
      </c>
      <c r="CC46" s="186" t="str">
        <f t="shared" si="33"/>
        <v/>
      </c>
      <c r="CD46" s="160" t="str">
        <f t="shared" si="34"/>
        <v/>
      </c>
      <c r="CE46" s="176" t="str">
        <f t="shared" si="87"/>
        <v/>
      </c>
      <c r="CF46" s="216" t="str">
        <f t="shared" si="88"/>
        <v/>
      </c>
      <c r="CG46" s="160" t="str">
        <f t="shared" si="35"/>
        <v/>
      </c>
      <c r="CH46" s="156" t="str">
        <f t="shared" si="89"/>
        <v/>
      </c>
      <c r="CI46" s="156" t="str">
        <f t="shared" si="90"/>
        <v/>
      </c>
      <c r="CJ46" s="186" t="str">
        <f t="shared" si="36"/>
        <v/>
      </c>
      <c r="CK46" s="160" t="str">
        <f t="shared" si="37"/>
        <v/>
      </c>
      <c r="CL46" s="187" t="str">
        <f t="shared" si="38"/>
        <v/>
      </c>
      <c r="CM46" s="216" t="str">
        <f t="shared" si="91"/>
        <v/>
      </c>
      <c r="CN46" s="160" t="str">
        <f t="shared" si="39"/>
        <v/>
      </c>
      <c r="CO46" s="156" t="str">
        <f t="shared" si="40"/>
        <v/>
      </c>
      <c r="CP46" s="156" t="str">
        <f t="shared" si="92"/>
        <v/>
      </c>
      <c r="CQ46" s="186" t="str">
        <f t="shared" si="41"/>
        <v/>
      </c>
      <c r="CR46" s="160" t="str">
        <f t="shared" si="42"/>
        <v/>
      </c>
      <c r="CS46" s="160" t="str">
        <f t="shared" si="43"/>
        <v/>
      </c>
      <c r="CT46" s="160" t="str">
        <f t="shared" si="44"/>
        <v/>
      </c>
      <c r="CU46" s="186" t="str">
        <f t="shared" si="45"/>
        <v/>
      </c>
      <c r="CV46" s="160" t="str">
        <f t="shared" si="46"/>
        <v/>
      </c>
      <c r="CW46" s="160" t="str">
        <f t="shared" si="47"/>
        <v/>
      </c>
      <c r="CX46" s="160" t="str">
        <f t="shared" si="48"/>
        <v/>
      </c>
      <c r="CY46" s="160"/>
      <c r="CZ46" s="190"/>
      <c r="DA46" s="185"/>
      <c r="DB46" s="184" t="str">
        <f t="shared" si="49"/>
        <v/>
      </c>
      <c r="DC46" s="185">
        <f t="shared" si="95"/>
        <v>30</v>
      </c>
      <c r="DD46" s="186" t="str">
        <f t="shared" si="50"/>
        <v/>
      </c>
      <c r="DE46" s="160" t="str">
        <f t="shared" si="51"/>
        <v/>
      </c>
      <c r="DF46" s="189" t="str">
        <f t="shared" si="52"/>
        <v/>
      </c>
      <c r="DG46" s="188" t="str">
        <f t="shared" si="53"/>
        <v/>
      </c>
      <c r="DH46" s="186" t="str">
        <f t="shared" si="54"/>
        <v/>
      </c>
      <c r="DI46" s="160" t="str">
        <f t="shared" si="55"/>
        <v/>
      </c>
      <c r="DJ46" s="187" t="str">
        <f t="shared" si="56"/>
        <v/>
      </c>
      <c r="DK46" s="160" t="str">
        <f t="shared" si="57"/>
        <v/>
      </c>
      <c r="DL46" s="186" t="str">
        <f t="shared" si="58"/>
        <v/>
      </c>
      <c r="DM46" s="160" t="str">
        <f t="shared" si="59"/>
        <v/>
      </c>
      <c r="DN46" s="187" t="str">
        <f t="shared" si="60"/>
        <v/>
      </c>
      <c r="DO46" s="160" t="str">
        <f t="shared" si="61"/>
        <v/>
      </c>
      <c r="DP46" s="186" t="str">
        <f t="shared" si="62"/>
        <v/>
      </c>
      <c r="DQ46" s="160" t="str">
        <f t="shared" si="63"/>
        <v/>
      </c>
      <c r="DR46" s="160" t="str">
        <f t="shared" si="64"/>
        <v/>
      </c>
      <c r="DS46" s="160" t="str">
        <f t="shared" si="65"/>
        <v/>
      </c>
      <c r="DT46" s="186" t="str">
        <f t="shared" si="66"/>
        <v/>
      </c>
      <c r="DU46" s="160" t="str">
        <f t="shared" si="67"/>
        <v/>
      </c>
      <c r="DV46" s="160" t="str">
        <f t="shared" si="68"/>
        <v/>
      </c>
      <c r="DW46" s="160" t="str">
        <f t="shared" si="69"/>
        <v/>
      </c>
      <c r="DX46" s="81"/>
    </row>
    <row r="47" spans="1:176" s="53" customFormat="1" ht="12.75" customHeight="1" thickBot="1" x14ac:dyDescent="0.2">
      <c r="B47" s="290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291"/>
      <c r="T47" s="291"/>
      <c r="U47" s="291"/>
      <c r="V47" s="291"/>
      <c r="W47" s="291"/>
      <c r="X47" s="292"/>
      <c r="Y47" s="290" t="s">
        <v>25</v>
      </c>
      <c r="Z47" s="292"/>
      <c r="AB47" s="41"/>
      <c r="AC47" s="41"/>
      <c r="AD47" s="41"/>
      <c r="AE47" s="41" t="s">
        <v>17</v>
      </c>
      <c r="AF47" s="99">
        <f>+COUNT(AF17:AF46)</f>
        <v>0</v>
      </c>
      <c r="AG47" s="99">
        <f>+COUNT(AG17:AG46)</f>
        <v>0</v>
      </c>
      <c r="AH47" s="100">
        <f>+COUNT(AH17:AH46)</f>
        <v>0</v>
      </c>
      <c r="AI47" s="96" t="s">
        <v>65</v>
      </c>
      <c r="AJ47" s="168"/>
      <c r="AK47" s="69"/>
      <c r="AL47" s="70"/>
      <c r="AM47" s="92">
        <f t="shared" si="6"/>
        <v>0</v>
      </c>
      <c r="AO47" s="40"/>
      <c r="AP47" s="101" t="str">
        <f>+IF(COUNT(AP17:AP46)&lt;3,"N/A",IF(SUM(AP17:AP46)="","",RSQ(AP17:AP46,AR17:AR46)))</f>
        <v>N/A</v>
      </c>
      <c r="AQ47" s="217"/>
      <c r="AR47" s="102"/>
      <c r="AS47" s="208"/>
      <c r="AT47" s="208"/>
      <c r="AU47" s="103"/>
      <c r="AV47" s="40"/>
      <c r="AW47" s="101" t="str">
        <f>+IF(COUNT(AW17:AW46)&lt;3,"N/A",IF(SUM(AW17:AW46)="","",RSQ(AW17:AW46,AY17:AY46)))</f>
        <v>N/A</v>
      </c>
      <c r="AX47" s="217"/>
      <c r="AY47" s="40"/>
      <c r="AZ47" s="208"/>
      <c r="BA47" s="208"/>
      <c r="BB47" s="104" t="str">
        <f>+IF($K47="","",$K47)</f>
        <v/>
      </c>
      <c r="BC47" s="40"/>
      <c r="BD47" s="101" t="str">
        <f>+IF(COUNT(BD17:BD46)&lt;3,"N/A",IF(SUM(BD17:BD46)="","",RSQ(BD17:BD46,BF17:BF46)))</f>
        <v>N/A</v>
      </c>
      <c r="BE47" s="217"/>
      <c r="BF47" s="40"/>
      <c r="BG47" s="208"/>
      <c r="BH47" s="208"/>
      <c r="BI47" s="104" t="str">
        <f>+IF($K47="","",$K47)</f>
        <v/>
      </c>
      <c r="BJ47" s="40"/>
      <c r="BK47" s="101" t="str">
        <f>+IF(COUNT(BK17:BK46)&lt;3,"N/A",IF(SUM(BK17:BK46)="","",RSQ(BK17:BK46,BL17:BL46)))</f>
        <v>N/A</v>
      </c>
      <c r="BL47" s="40"/>
      <c r="BM47" s="104" t="str">
        <f>+IF($K47="","",$K47)</f>
        <v/>
      </c>
      <c r="BN47" s="40"/>
      <c r="BO47" s="101" t="str">
        <f>+IF(COUNT(BO17:BO46)&lt;3,"N/A",IF(SUM(BO17:BO46)="","",RSQ(BO17:BO46,BP17:BP46)))</f>
        <v>N/A</v>
      </c>
      <c r="BP47" s="40"/>
      <c r="BQ47" s="40"/>
      <c r="BR47" s="55"/>
      <c r="BS47" s="92"/>
      <c r="BT47" s="166"/>
      <c r="BU47" s="92">
        <f>+B100</f>
        <v>0</v>
      </c>
      <c r="BW47" s="54"/>
      <c r="BX47" s="101" t="str">
        <f>+IF(COUNT(BX17:BX46)&lt;3,"N/A",IF(SUM(BX17:BX46)="","",RSQ(BX17:BX46,CB17:CB46)))</f>
        <v>N/A</v>
      </c>
      <c r="BY47" s="217"/>
      <c r="BZ47" s="208"/>
      <c r="CA47" s="208"/>
      <c r="CB47" s="102"/>
      <c r="CC47" s="103"/>
      <c r="CD47" s="54"/>
      <c r="CE47" s="101" t="str">
        <f>+IF(COUNT(CE17:CE46)&lt;3,"N/A",IF(SUM(CE17:CE46)="","",RSQ(CE17:CE46,CG17:CG46)))</f>
        <v>N/A</v>
      </c>
      <c r="CF47" s="217"/>
      <c r="CG47" s="54"/>
      <c r="CH47" s="208"/>
      <c r="CI47" s="208"/>
      <c r="CJ47" s="104" t="str">
        <f>+IF($K99="","",$K99)</f>
        <v/>
      </c>
      <c r="CK47" s="54"/>
      <c r="CL47" s="101" t="str">
        <f>+IF(COUNT(CL17:CL46)&lt;3,"N/A",IF(SUM(CL17:CL46)="","",RSQ(CL17:CL46,CN17:CN46)))</f>
        <v>N/A</v>
      </c>
      <c r="CM47" s="217"/>
      <c r="CN47" s="54"/>
      <c r="CO47" s="208"/>
      <c r="CP47" s="208"/>
      <c r="CQ47" s="104" t="str">
        <f>+IF($K99="","",$K99)</f>
        <v/>
      </c>
      <c r="CR47" s="54"/>
      <c r="CS47" s="101" t="str">
        <f>+IF(COUNT(CS17:CS46)&lt;3,"N/A",IF(SUM(CS17:CS46)="","",RSQ(CS17:CS46,CT17:CT46)))</f>
        <v>N/A</v>
      </c>
      <c r="CT47" s="54"/>
      <c r="CU47" s="104" t="str">
        <f>+IF($K99="","",$K99)</f>
        <v/>
      </c>
      <c r="CV47" s="54"/>
      <c r="CW47" s="101" t="str">
        <f>+IF(COUNT(CW17:CW46)&lt;3,"N/A",IF(SUM(CW17:CW46)="","",RSQ(CW17:CW46,CX17:CX46)))</f>
        <v>N/A</v>
      </c>
      <c r="CX47" s="54"/>
      <c r="CY47" s="54"/>
      <c r="CZ47" s="150"/>
      <c r="DA47" s="92"/>
      <c r="DB47" s="171"/>
      <c r="DC47" s="92">
        <f>+B148</f>
        <v>0</v>
      </c>
      <c r="DE47" s="54"/>
      <c r="DF47" s="101" t="str">
        <f>+IF(COUNT(DF17:DF46)&lt;3,"N/A",IF(SUM(DF17:DF46)="","",RSQ(DF17:DF46,DG17:DG46)))</f>
        <v>N/A</v>
      </c>
      <c r="DG47" s="102"/>
      <c r="DH47" s="103"/>
      <c r="DI47" s="54"/>
      <c r="DJ47" s="101" t="str">
        <f>+IF(COUNT(DJ17:DJ46)&lt;3,"N/A",IF(SUM(DJ17:DJ46)="","",RSQ(DJ17:DJ46,DK17:DK46)))</f>
        <v>N/A</v>
      </c>
      <c r="DK47" s="54"/>
      <c r="DL47" s="104" t="str">
        <f>+IF($K147="","",$K147)</f>
        <v/>
      </c>
      <c r="DM47" s="54"/>
      <c r="DN47" s="101" t="str">
        <f>+IF(COUNT(DN17:DN46)&lt;3,"N/A",IF(SUM(DN17:DN46)="","",RSQ(DN17:DN46,DO17:DO46)))</f>
        <v>N/A</v>
      </c>
      <c r="DO47" s="54"/>
      <c r="DP47" s="104" t="str">
        <f>+IF($K147="","",$K147)</f>
        <v/>
      </c>
      <c r="DQ47" s="54"/>
      <c r="DR47" s="101" t="str">
        <f>+IF(COUNT(DR17:DR46)&lt;3,"N/A",IF(SUM(DR17:DR46)="","",RSQ(DR17:DR46,DS17:DS46)))</f>
        <v>N/A</v>
      </c>
      <c r="DS47" s="54"/>
      <c r="DT47" s="104" t="str">
        <f>+IF($K147="","",$K147)</f>
        <v/>
      </c>
      <c r="DU47" s="54"/>
      <c r="DV47" s="101" t="str">
        <f>+IF(COUNT(DV17:DV46)&lt;3,"N/A",IF(SUM(DV17:DV46)="","",RSQ(DV17:DV46,DW17:DW46)))</f>
        <v>N/A</v>
      </c>
      <c r="DW47" s="54"/>
      <c r="DX47" s="81"/>
    </row>
    <row r="48" spans="1:176" s="53" customFormat="1" ht="3" customHeight="1" thickBot="1" x14ac:dyDescent="0.2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B48" s="41"/>
      <c r="AC48" s="41"/>
      <c r="AD48" s="41"/>
      <c r="AE48" s="41"/>
      <c r="AF48" s="99"/>
      <c r="AG48" s="99"/>
      <c r="AH48" s="100"/>
      <c r="AI48" s="96"/>
      <c r="AJ48" s="168"/>
      <c r="AK48" s="81"/>
      <c r="AL48" s="85"/>
      <c r="AM48" s="81"/>
      <c r="AN48" s="169"/>
      <c r="AO48" s="71" t="s">
        <v>33</v>
      </c>
      <c r="AP48" s="71"/>
      <c r="AQ48" s="71"/>
      <c r="AR48" s="71"/>
      <c r="AS48" s="71"/>
      <c r="AT48" s="71"/>
      <c r="AU48" s="169"/>
      <c r="AV48" s="71" t="s">
        <v>34</v>
      </c>
      <c r="AW48" s="71"/>
      <c r="AX48" s="71"/>
      <c r="AY48" s="71"/>
      <c r="AZ48" s="71"/>
      <c r="BA48" s="71"/>
      <c r="BB48" s="54"/>
      <c r="BC48" s="71" t="s">
        <v>35</v>
      </c>
      <c r="BD48" s="71"/>
      <c r="BE48" s="71"/>
      <c r="BF48" s="71"/>
      <c r="BG48" s="71"/>
      <c r="BH48" s="71"/>
      <c r="BI48" s="169"/>
      <c r="BJ48" s="71" t="s">
        <v>36</v>
      </c>
      <c r="BK48" s="71"/>
      <c r="BL48" s="71"/>
      <c r="BM48" s="169"/>
      <c r="BN48" s="71" t="s">
        <v>37</v>
      </c>
      <c r="BO48" s="71"/>
      <c r="BP48" s="71"/>
      <c r="BQ48" s="54"/>
      <c r="BS48" s="130"/>
      <c r="BT48" s="131"/>
      <c r="BU48" s="126"/>
      <c r="BV48" s="126"/>
      <c r="BW48" s="132" t="s">
        <v>33</v>
      </c>
      <c r="BX48" s="132"/>
      <c r="BY48" s="71"/>
      <c r="BZ48" s="71"/>
      <c r="CA48" s="71"/>
      <c r="CB48" s="132"/>
      <c r="CC48" s="132"/>
      <c r="CD48" s="132" t="s">
        <v>34</v>
      </c>
      <c r="CE48" s="132"/>
      <c r="CF48" s="71"/>
      <c r="CG48" s="132"/>
      <c r="CH48" s="71"/>
      <c r="CI48" s="71"/>
      <c r="CJ48" s="132"/>
      <c r="CK48" s="132" t="s">
        <v>35</v>
      </c>
      <c r="CL48" s="132"/>
      <c r="CM48" s="71"/>
      <c r="CN48" s="132"/>
      <c r="CO48" s="71"/>
      <c r="CP48" s="71"/>
      <c r="CQ48" s="132"/>
      <c r="CR48" s="132" t="s">
        <v>36</v>
      </c>
      <c r="CS48" s="132"/>
      <c r="CT48" s="132"/>
      <c r="CU48" s="132"/>
      <c r="CV48" s="132" t="s">
        <v>37</v>
      </c>
      <c r="CW48" s="132"/>
      <c r="CX48" s="132"/>
      <c r="CY48" s="132"/>
      <c r="CZ48" s="133"/>
      <c r="DA48" s="97"/>
      <c r="DB48" s="145"/>
      <c r="DC48" s="81"/>
      <c r="DD48" s="81"/>
      <c r="DE48" s="54" t="s">
        <v>33</v>
      </c>
      <c r="DF48" s="54"/>
      <c r="DG48" s="54"/>
      <c r="DH48" s="54"/>
      <c r="DI48" s="54" t="s">
        <v>34</v>
      </c>
      <c r="DJ48" s="54"/>
      <c r="DK48" s="54"/>
      <c r="DL48" s="54"/>
      <c r="DM48" s="54" t="s">
        <v>35</v>
      </c>
      <c r="DN48" s="54"/>
      <c r="DO48" s="54"/>
      <c r="DP48" s="54"/>
      <c r="DQ48" s="54" t="s">
        <v>36</v>
      </c>
      <c r="DR48" s="54"/>
      <c r="DS48" s="54"/>
      <c r="DT48" s="54"/>
      <c r="DU48" s="54" t="s">
        <v>37</v>
      </c>
      <c r="DV48" s="54"/>
      <c r="DW48" s="54"/>
      <c r="DX48" s="81"/>
    </row>
    <row r="49" spans="1:128" ht="12.75" customHeight="1" thickBot="1" x14ac:dyDescent="0.2">
      <c r="B49" s="293" t="s">
        <v>161</v>
      </c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321"/>
      <c r="R49" s="321"/>
      <c r="S49" s="322"/>
      <c r="T49" s="293" t="s">
        <v>163</v>
      </c>
      <c r="U49" s="294"/>
      <c r="V49" s="294"/>
      <c r="W49" s="294"/>
      <c r="X49" s="294"/>
      <c r="Y49" s="294"/>
      <c r="Z49" s="295"/>
      <c r="AA49" s="46"/>
      <c r="AB49" s="46"/>
      <c r="AC49" s="46"/>
      <c r="AD49" s="46"/>
      <c r="AE49" s="46"/>
      <c r="AF49" s="46"/>
      <c r="AG49" s="46"/>
      <c r="AH49" s="46"/>
      <c r="AI49" s="89"/>
      <c r="AJ49" s="89"/>
      <c r="AK49" s="46"/>
      <c r="AL49" s="90"/>
      <c r="AM49" s="53"/>
      <c r="AN49" s="53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S49" s="41"/>
      <c r="BT49" s="43"/>
      <c r="BU49" s="53"/>
      <c r="BV49" s="53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DA49" s="53"/>
      <c r="DB49" s="83"/>
      <c r="DC49" s="53"/>
      <c r="DD49" s="53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  <c r="DT49" s="208"/>
      <c r="DU49" s="208"/>
      <c r="DV49" s="208"/>
      <c r="DW49" s="208"/>
    </row>
    <row r="50" spans="1:128" s="53" customFormat="1" ht="43.5" customHeight="1" x14ac:dyDescent="0.15">
      <c r="B50" s="220" t="s">
        <v>32</v>
      </c>
      <c r="C50" s="162" t="s">
        <v>0</v>
      </c>
      <c r="D50" s="162" t="s">
        <v>22</v>
      </c>
      <c r="E50" s="162" t="s">
        <v>9</v>
      </c>
      <c r="F50" s="411" t="s">
        <v>1</v>
      </c>
      <c r="G50" s="412"/>
      <c r="H50" s="162" t="str">
        <f>+IF(N13="x","Rice 1, 2, or 3","QA Proctor 1, 2, or 3")</f>
        <v>QA Proctor 1, 2, or 3</v>
      </c>
      <c r="I50" s="162" t="str">
        <f t="shared" ref="I50:O50" si="98">+I16</f>
        <v>Elevation</v>
      </c>
      <c r="J50" s="162" t="str">
        <f t="shared" si="98"/>
        <v>Thick</v>
      </c>
      <c r="K50" s="162" t="str">
        <f t="shared" si="98"/>
        <v>Grade (see below)</v>
      </c>
      <c r="L50" s="162" t="str">
        <f t="shared" si="98"/>
        <v>Probe Depth</v>
      </c>
      <c r="M50" s="162" t="str">
        <f t="shared" si="98"/>
        <v>Soil Density Count</v>
      </c>
      <c r="N50" s="162" t="str">
        <f t="shared" si="98"/>
        <v>Soil Moist Den Count</v>
      </c>
      <c r="O50" s="162" t="str">
        <f t="shared" si="98"/>
        <v>Wet Density lbs/cu.ft.</v>
      </c>
      <c r="P50" s="162" t="str">
        <f>+IF(N47="x","","Moisture lbs/cu.ft.")</f>
        <v>Moisture lbs/cu.ft.</v>
      </c>
      <c r="Q50" s="162" t="str">
        <f>+IF($N$12="X","In Place             Dry Density lbs/cu. ft.","")</f>
        <v>In Place             Dry Density lbs/cu. ft.</v>
      </c>
      <c r="R50" s="162" t="str">
        <f>+IF(I47="x","","Moisture %")</f>
        <v>Moisture %</v>
      </c>
      <c r="S50" s="221" t="s">
        <v>162</v>
      </c>
      <c r="T50" s="220" t="s">
        <v>147</v>
      </c>
      <c r="U50" s="162" t="s">
        <v>159</v>
      </c>
      <c r="V50" s="162" t="str">
        <f>+V16</f>
        <v>In Place             Dry Density lbs/cu. ft.</v>
      </c>
      <c r="W50" s="162" t="str">
        <f>+W16</f>
        <v>Moisture %</v>
      </c>
      <c r="X50" s="287" t="str">
        <f>+X16</f>
        <v>Relative Compaction        (%)</v>
      </c>
      <c r="Y50" s="220" t="str">
        <f>+Y16</f>
        <v>Reported % Compaction</v>
      </c>
      <c r="Z50" s="221" t="str">
        <f>+Z16</f>
        <v>Difference in Dry Density</v>
      </c>
      <c r="AB50" s="41"/>
      <c r="AD50" s="41"/>
      <c r="AE50" s="53" t="s">
        <v>72</v>
      </c>
      <c r="AF50" s="99">
        <v>1</v>
      </c>
      <c r="AG50" s="99">
        <v>2</v>
      </c>
      <c r="AH50" s="100">
        <v>3</v>
      </c>
      <c r="AI50" s="96"/>
      <c r="AJ50" s="168"/>
      <c r="AK50" s="172"/>
      <c r="AL50" s="194" t="s">
        <v>23</v>
      </c>
      <c r="AM50" s="173"/>
      <c r="AN50" s="173" t="s">
        <v>45</v>
      </c>
      <c r="AO50" s="173" t="s">
        <v>20</v>
      </c>
      <c r="AP50" s="195" t="s">
        <v>66</v>
      </c>
      <c r="AQ50" s="195"/>
      <c r="AR50" s="173" t="s">
        <v>21</v>
      </c>
      <c r="AS50" s="173"/>
      <c r="AT50" s="173"/>
      <c r="AU50" s="173" t="s">
        <v>45</v>
      </c>
      <c r="AV50" s="173" t="s">
        <v>20</v>
      </c>
      <c r="AW50" s="195" t="str">
        <f>+AP50</f>
        <v>count ratio</v>
      </c>
      <c r="AX50" s="195"/>
      <c r="AY50" s="173" t="s">
        <v>21</v>
      </c>
      <c r="AZ50" s="173"/>
      <c r="BA50" s="173"/>
      <c r="BB50" s="173" t="s">
        <v>45</v>
      </c>
      <c r="BC50" s="173" t="s">
        <v>20</v>
      </c>
      <c r="BD50" s="195" t="str">
        <f>+AW50</f>
        <v>count ratio</v>
      </c>
      <c r="BE50" s="195"/>
      <c r="BF50" s="173" t="s">
        <v>21</v>
      </c>
      <c r="BG50" s="173"/>
      <c r="BH50" s="173"/>
      <c r="BI50" s="173" t="s">
        <v>45</v>
      </c>
      <c r="BJ50" s="173" t="s">
        <v>20</v>
      </c>
      <c r="BK50" s="195" t="str">
        <f>+BD50</f>
        <v>count ratio</v>
      </c>
      <c r="BL50" s="173" t="s">
        <v>21</v>
      </c>
      <c r="BM50" s="173" t="s">
        <v>45</v>
      </c>
      <c r="BN50" s="173" t="s">
        <v>20</v>
      </c>
      <c r="BO50" s="195" t="str">
        <f>+BK50</f>
        <v>count ratio</v>
      </c>
      <c r="BP50" s="173" t="s">
        <v>21</v>
      </c>
      <c r="BQ50" s="173"/>
      <c r="BR50" s="173"/>
      <c r="BS50" s="196"/>
      <c r="BT50" s="197"/>
      <c r="BU50" s="173"/>
      <c r="BV50" s="173" t="s">
        <v>45</v>
      </c>
      <c r="BW50" s="173" t="s">
        <v>20</v>
      </c>
      <c r="BX50" s="195">
        <f>+AP83</f>
        <v>0</v>
      </c>
      <c r="BY50" s="195"/>
      <c r="BZ50" s="173"/>
      <c r="CA50" s="173"/>
      <c r="CB50" s="173" t="s">
        <v>21</v>
      </c>
      <c r="CC50" s="173" t="s">
        <v>45</v>
      </c>
      <c r="CD50" s="173" t="s">
        <v>20</v>
      </c>
      <c r="CE50" s="195">
        <f>+BX50</f>
        <v>0</v>
      </c>
      <c r="CF50" s="195"/>
      <c r="CG50" s="173" t="s">
        <v>21</v>
      </c>
      <c r="CH50" s="173"/>
      <c r="CI50" s="173"/>
      <c r="CJ50" s="173" t="s">
        <v>45</v>
      </c>
      <c r="CK50" s="173" t="s">
        <v>20</v>
      </c>
      <c r="CL50" s="195">
        <f>+CE50</f>
        <v>0</v>
      </c>
      <c r="CM50" s="195"/>
      <c r="CN50" s="173" t="s">
        <v>21</v>
      </c>
      <c r="CO50" s="173"/>
      <c r="CP50" s="173"/>
      <c r="CQ50" s="173" t="s">
        <v>45</v>
      </c>
      <c r="CR50" s="173" t="s">
        <v>20</v>
      </c>
      <c r="CS50" s="195">
        <f>+CL50</f>
        <v>0</v>
      </c>
      <c r="CT50" s="173" t="s">
        <v>21</v>
      </c>
      <c r="CU50" s="173" t="s">
        <v>45</v>
      </c>
      <c r="CV50" s="173" t="s">
        <v>20</v>
      </c>
      <c r="CW50" s="195">
        <f>+CS50</f>
        <v>0</v>
      </c>
      <c r="CX50" s="173" t="s">
        <v>21</v>
      </c>
      <c r="CY50" s="173"/>
      <c r="CZ50" s="173"/>
      <c r="DA50" s="173"/>
      <c r="DB50" s="198"/>
      <c r="DC50" s="173"/>
      <c r="DD50" s="173" t="s">
        <v>45</v>
      </c>
      <c r="DE50" s="173" t="s">
        <v>20</v>
      </c>
      <c r="DF50" s="195">
        <f>+BX83</f>
        <v>0</v>
      </c>
      <c r="DG50" s="173" t="s">
        <v>21</v>
      </c>
      <c r="DH50" s="173" t="s">
        <v>45</v>
      </c>
      <c r="DI50" s="173" t="s">
        <v>20</v>
      </c>
      <c r="DJ50" s="195">
        <f>+DF50</f>
        <v>0</v>
      </c>
      <c r="DK50" s="173" t="s">
        <v>21</v>
      </c>
      <c r="DL50" s="173" t="s">
        <v>45</v>
      </c>
      <c r="DM50" s="173" t="s">
        <v>20</v>
      </c>
      <c r="DN50" s="195">
        <f>+DJ50</f>
        <v>0</v>
      </c>
      <c r="DO50" s="173" t="s">
        <v>21</v>
      </c>
      <c r="DP50" s="173" t="s">
        <v>45</v>
      </c>
      <c r="DQ50" s="173" t="s">
        <v>20</v>
      </c>
      <c r="DR50" s="195">
        <f>+DN50</f>
        <v>0</v>
      </c>
      <c r="DS50" s="173" t="s">
        <v>21</v>
      </c>
      <c r="DT50" s="173" t="s">
        <v>45</v>
      </c>
      <c r="DU50" s="173" t="s">
        <v>20</v>
      </c>
      <c r="DV50" s="195">
        <f>+DR50</f>
        <v>0</v>
      </c>
      <c r="DW50" s="173" t="s">
        <v>21</v>
      </c>
      <c r="DX50" s="81"/>
    </row>
    <row r="51" spans="1:128" ht="12.75" customHeight="1" x14ac:dyDescent="0.15">
      <c r="B51" s="201">
        <v>1</v>
      </c>
      <c r="C51" s="61"/>
      <c r="D51" s="60"/>
      <c r="E51" s="61"/>
      <c r="F51" s="289"/>
      <c r="G51" s="289"/>
      <c r="H51" s="62"/>
      <c r="I51" s="62"/>
      <c r="J51" s="62"/>
      <c r="K51" s="62"/>
      <c r="L51" s="202"/>
      <c r="M51" s="93"/>
      <c r="N51" s="94"/>
      <c r="O51" s="93"/>
      <c r="P51" s="95"/>
      <c r="Q51" s="95"/>
      <c r="R51" s="206"/>
      <c r="S51" s="280" t="str">
        <f>IF(C51="","",P51/Q51)</f>
        <v/>
      </c>
      <c r="T51" s="278" t="str">
        <f>IF(D51="","",IF($N$12="X","",+'QA thin lift'!I28))</f>
        <v/>
      </c>
      <c r="U51" s="219"/>
      <c r="V51" s="63" t="str">
        <f t="shared" ref="V51:V60" si="99">+IF($N$13="x","",IF(O51=0,"",O51-P51))</f>
        <v/>
      </c>
      <c r="W51" s="64" t="str">
        <f t="shared" ref="W51:W60" si="100">+IF(V51="","",P51/V51)</f>
        <v/>
      </c>
      <c r="X51" s="288" t="str">
        <f t="shared" ref="X51:X60" si="101">IF(OR(H51="",N51="",M51=""),"",ROUNDUP(IF(H51="","",IF($N$12="x",(IF(H51=1,V51/$S$13*100,IF(H51=2,V51/$W$13*100,IF(H51=3,V51/$Z$13*100)))),IF($N$13="x",(IF(H51=1,O51/$S$12*100,IF(H51=2,O51/$W$12*100,IF(H51=3,O51/$Z$12*100,""))))))),0))</f>
        <v/>
      </c>
      <c r="Y51" s="284" t="str">
        <f t="shared" ref="Y51:Y60" si="102">+IF(K51="","",IF(OR(K51="SG",K51="TP",K51="RG",K51="OG"),90,IF(OR(K51="D",K51="FG",K51="FTG",K51="EMB"),95,IF(K51="FGAC",93,""))))</f>
        <v/>
      </c>
      <c r="Z51" s="286" t="str">
        <f t="shared" ref="Z51:Z60" si="103">IF(OR(D51="",O51="",N51="",M51=""),"",IF(AND($N$13="x",Y51&lt;90),"ERR grade",IF(H51="","",+IF(AND($N$12="",$N$13=""),"",IF(X51&lt;Y51,"FAIL","PASS")))))</f>
        <v/>
      </c>
      <c r="AA51" s="53"/>
      <c r="AB51" s="105"/>
      <c r="AC51" s="105"/>
      <c r="AD51" s="41"/>
      <c r="AE51" s="81"/>
      <c r="AF51" s="96" t="str">
        <f t="shared" ref="AF51:AF60" si="104">+IF(H51=1,O51,"")</f>
        <v/>
      </c>
      <c r="AG51" s="96" t="str">
        <f t="shared" ref="AG51:AG60" si="105">+IF(H51=2,O51,"")</f>
        <v/>
      </c>
      <c r="AH51" s="96" t="str">
        <f t="shared" ref="AH51:AH60" si="106">+IF(H51=3,O51,"")</f>
        <v/>
      </c>
      <c r="AI51" s="96"/>
      <c r="AJ51" s="168"/>
      <c r="AK51" s="192">
        <v>1</v>
      </c>
      <c r="AL51" s="174" t="str">
        <f t="shared" ref="AL51:AL60" si="107">+IF(D51="","",D51)</f>
        <v/>
      </c>
      <c r="AM51" s="155">
        <f t="shared" ref="AM51:AM60" si="108">+B51</f>
        <v>1</v>
      </c>
      <c r="AN51" s="175" t="str">
        <f t="shared" ref="AN51:AN60" si="109">+IF($H51="","",IF($H51=1,1,""))</f>
        <v/>
      </c>
      <c r="AO51" s="156" t="str">
        <f t="shared" ref="AO51:AO60" si="110">+IF(AND(AN51=1,L51=4),4,"")</f>
        <v/>
      </c>
      <c r="AP51" s="176" t="str">
        <f t="shared" ref="AP51:AP60" si="111">+IF(AL51="","",IF(AND(AN51=1,AO51=4),+M51/VLOOKUP($AL51,$P$66:$Q$68,2),""))</f>
        <v/>
      </c>
      <c r="AQ51" s="176"/>
      <c r="AR51" s="177" t="str">
        <f>+IF(AND(AN51=1,L55=4),+O51,"")</f>
        <v/>
      </c>
      <c r="AS51" s="156"/>
      <c r="AT51" s="156"/>
      <c r="AU51" s="175" t="str">
        <f t="shared" ref="AU51:AU60" si="112">+IF($H51="","",IF($H51=1,1,""))</f>
        <v/>
      </c>
      <c r="AV51" s="156" t="str">
        <f t="shared" ref="AV51:AV60" si="113">+IF(AND(AU51=1,L51=6),6,"")</f>
        <v/>
      </c>
      <c r="AW51" s="176" t="str">
        <f t="shared" ref="AW51:AW60" si="114">+IF(AL51="","",IF(AND(AU51=1,L51=6),+M51/VLOOKUP($AL51,$P$66:$Q$68,2),""))</f>
        <v/>
      </c>
      <c r="AX51" s="176"/>
      <c r="AY51" s="156" t="str">
        <f t="shared" ref="AY51:AY60" si="115">+IF(P51="","",IF(AND(AU51=1,L51=6),+O51,""))</f>
        <v/>
      </c>
      <c r="AZ51" s="156"/>
      <c r="BA51" s="156"/>
      <c r="BB51" s="175" t="str">
        <f t="shared" ref="BB51:BB60" si="116">+IF($H51="","",IF($H51=1,1,""))</f>
        <v/>
      </c>
      <c r="BC51" s="156" t="str">
        <f t="shared" ref="BC51:BC60" si="117">+IF(AND(BB51=1,L51=8),8,"")</f>
        <v/>
      </c>
      <c r="BD51" s="176" t="str">
        <f t="shared" ref="BD51:BD60" si="118">+IF(AL51="","",IF(AND(BB51=1,L51=8),+M51/VLOOKUP($AL51,$P$66:$Q$68,2),""))</f>
        <v/>
      </c>
      <c r="BE51" s="176"/>
      <c r="BF51" s="156" t="str">
        <f t="shared" ref="BF51:BF60" si="119">+IF(AND(BB51=1,L51=8),+O51,"")</f>
        <v/>
      </c>
      <c r="BG51" s="156"/>
      <c r="BH51" s="156"/>
      <c r="BI51" s="175" t="str">
        <f t="shared" ref="BI51:BI60" si="120">+IF($H51="","",IF($H51=1,1,""))</f>
        <v/>
      </c>
      <c r="BJ51" s="156" t="str">
        <f t="shared" ref="BJ51:BJ60" si="121">+IF(AND(BI51=1,L51=10),10,"")</f>
        <v/>
      </c>
      <c r="BK51" s="156" t="str">
        <f t="shared" ref="BK51:BK60" si="122">+IF(AL51="","",IF(AND(BI51=1,L51=10),+M51/VLOOKUP($AL51,$P$66:$Q$68,2),""))</f>
        <v/>
      </c>
      <c r="BL51" s="156" t="str">
        <f t="shared" ref="BL51:BL60" si="123">+IF(AND(BI51=1,L51=10),+O51,"")</f>
        <v/>
      </c>
      <c r="BM51" s="175" t="str">
        <f t="shared" ref="BM51:BM60" si="124">+IF($H51="","",IF($H51=1,1,""))</f>
        <v/>
      </c>
      <c r="BN51" s="156" t="str">
        <f t="shared" ref="BN51:BN60" si="125">+IF(AND(BM51=1,L51=12),12,"")</f>
        <v/>
      </c>
      <c r="BO51" s="156" t="str">
        <f t="shared" ref="BO51:BO60" si="126">+IF(AL51="","",IF(AND(BM51=1,L51=12),+M51/VLOOKUP($AL51,$P$66:$Q$68,2),""))</f>
        <v/>
      </c>
      <c r="BP51" s="156" t="str">
        <f t="shared" ref="BP51:BP60" si="127">+IF(AND(BM51=1,L51=12),+O51,"")</f>
        <v/>
      </c>
      <c r="BQ51" s="156"/>
      <c r="BR51" s="155"/>
      <c r="BS51" s="155"/>
      <c r="BT51" s="174" t="str">
        <f t="shared" ref="BT51:BT60" si="128">+IF(D51="","",D51)</f>
        <v/>
      </c>
      <c r="BU51" s="155">
        <v>1</v>
      </c>
      <c r="BV51" s="175" t="str">
        <f t="shared" ref="BV51:BV60" si="129">+IF($H51="","",IF($H51=2,2,""))</f>
        <v/>
      </c>
      <c r="BW51" s="156" t="str">
        <f t="shared" ref="BW51:BW60" si="130">+IF(AND(BV51=2,L51=4),4,"")</f>
        <v/>
      </c>
      <c r="BX51" s="181" t="str">
        <f t="shared" ref="BX51:BX60" si="131">+IF(BT51="","",IF(AND(BV51=2,BW51=4),+(M51/VLOOKUP($BT51,$P$66:$Q$68,2)),""))</f>
        <v/>
      </c>
      <c r="BY51" s="176"/>
      <c r="BZ51" s="156"/>
      <c r="CA51" s="156"/>
      <c r="CB51" s="177" t="str">
        <f t="shared" ref="CB51:CB60" si="132">+IF(AND(BV51=2,L51=4),+O51,"")</f>
        <v/>
      </c>
      <c r="CC51" s="175" t="str">
        <f t="shared" ref="CC51:CC60" si="133">+IF($H51="","",IF($H51=2,2,""))</f>
        <v/>
      </c>
      <c r="CD51" s="156" t="str">
        <f t="shared" ref="CD51:CD60" si="134">+IF(AND(CC51=2,L51=6),6,"")</f>
        <v/>
      </c>
      <c r="CE51" s="176" t="str">
        <f t="shared" ref="CE51:CE60" si="135">+IF(BT51="","",IF(AND(CC51=2,L51=6),+M51/VLOOKUP($BT51,$P$66:$Q$68,2),""))</f>
        <v/>
      </c>
      <c r="CF51" s="176"/>
      <c r="CG51" s="156" t="str">
        <f t="shared" ref="CG51:CG60" si="136">+IF(AND(CC51=2,L51=6),+O51,"")</f>
        <v/>
      </c>
      <c r="CH51" s="156"/>
      <c r="CI51" s="156"/>
      <c r="CJ51" s="175" t="str">
        <f t="shared" ref="CJ51:CJ60" si="137">+IF($H51="","",IF($H51=2,2,""))</f>
        <v/>
      </c>
      <c r="CK51" s="156" t="str">
        <f t="shared" ref="CK51:CK60" si="138">+IF(AND(CJ51=2,L51=8),8,"")</f>
        <v/>
      </c>
      <c r="CL51" s="176" t="str">
        <f t="shared" ref="CL51:CL60" si="139">+IF(BT51="","",IF(AND(CJ51=2,L51=8),+M51/VLOOKUP($BT51,$P$66:$Q$68,2),""))</f>
        <v/>
      </c>
      <c r="CM51" s="176"/>
      <c r="CN51" s="156" t="str">
        <f t="shared" ref="CN51:CN60" si="140">+IF(AND(CJ51=2,L51=8),+O51,"")</f>
        <v/>
      </c>
      <c r="CO51" s="156"/>
      <c r="CP51" s="156"/>
      <c r="CQ51" s="175" t="str">
        <f t="shared" ref="CQ51:CQ60" si="141">+IF($H51="","",IF($H51=2,2,""))</f>
        <v/>
      </c>
      <c r="CR51" s="156" t="str">
        <f t="shared" ref="CR51:CR60" si="142">+IF(AND(CQ51=2,L51=10),10,"")</f>
        <v/>
      </c>
      <c r="CS51" s="156" t="str">
        <f t="shared" ref="CS51:CS60" si="143">+IF(BT51="","",IF(AND(CQ51=2,L51=10),+M51/VLOOKUP($BT51,$P$66:$Q$68,2),""))</f>
        <v/>
      </c>
      <c r="CT51" s="156" t="str">
        <f t="shared" ref="CT51:CT60" si="144">+IF(AND(CQ51=2,L51=10),+O51,"")</f>
        <v/>
      </c>
      <c r="CU51" s="175" t="str">
        <f t="shared" ref="CU51:CU60" si="145">+IF($H51="","",IF($H51=2,2,""))</f>
        <v/>
      </c>
      <c r="CV51" s="156" t="str">
        <f t="shared" ref="CV51:CV60" si="146">+IF(AND(CU51=2,L51=12),12,"")</f>
        <v/>
      </c>
      <c r="CW51" s="156" t="str">
        <f t="shared" ref="CW51:CW60" si="147">+IF(BT51="","",IF(AND(CU51=2,L51=12),+M51/VLOOKUP($BT51,$P$66:$Q$68,2),""))</f>
        <v/>
      </c>
      <c r="CX51" s="156" t="str">
        <f t="shared" ref="CX51:CX60" si="148">+IF(AND(CU51=2,L51=12),+O51,"")</f>
        <v/>
      </c>
      <c r="CY51" s="156"/>
      <c r="CZ51" s="155"/>
      <c r="DA51" s="155"/>
      <c r="DB51" s="174" t="str">
        <f t="shared" ref="DB51:DB60" si="149">+IF(D51="","",D51)</f>
        <v/>
      </c>
      <c r="DC51" s="155">
        <v>1</v>
      </c>
      <c r="DD51" s="175" t="str">
        <f t="shared" ref="DD51:DD60" si="150">+IF($H51="","",IF($H51=3,3,""))</f>
        <v/>
      </c>
      <c r="DE51" s="156" t="str">
        <f t="shared" ref="DE51:DE60" si="151">+IF(AND(DD51=3,L51=4),4,"")</f>
        <v/>
      </c>
      <c r="DF51" s="181" t="str">
        <f>+IF(DB51="","",IF(AND(DD51=3,DE51=4),+(M51/VLOOKUP(#REF!,$P$66:$Q$68,2)),""))</f>
        <v/>
      </c>
      <c r="DG51" s="177" t="str">
        <f t="shared" ref="DG51:DG60" si="152">+IF(AND(DD51=3,L51=4),+O51,"")</f>
        <v/>
      </c>
      <c r="DH51" s="175" t="str">
        <f t="shared" ref="DH51:DH60" si="153">+IF($H51="","",IF($H51=3,3,""))</f>
        <v/>
      </c>
      <c r="DI51" s="156" t="str">
        <f t="shared" ref="DI51:DI60" si="154">+IF(AND(DH51=3,L51=6),6,"")</f>
        <v/>
      </c>
      <c r="DJ51" s="176" t="str">
        <f t="shared" ref="DJ51:DJ60" si="155">+IF(DB51="","",IF(AND(DH51=3,L51=6),+M51/VLOOKUP($DB51,$P$66:$Q$68,2),""))</f>
        <v/>
      </c>
      <c r="DK51" s="156" t="str">
        <f t="shared" ref="DK51:DK60" si="156">+IF(AND(DH51=3,L51=6),+O51,"")</f>
        <v/>
      </c>
      <c r="DL51" s="175" t="str">
        <f t="shared" ref="DL51:DL60" si="157">+IF($H51="","",IF($H51=3,3,""))</f>
        <v/>
      </c>
      <c r="DM51" s="156" t="str">
        <f t="shared" ref="DM51:DM60" si="158">+IF(AND(DL51=3,L51=8),8,"")</f>
        <v/>
      </c>
      <c r="DN51" s="176" t="str">
        <f t="shared" ref="DN51:DN60" si="159">+IF(DB51="","",IF(AND(DL51=3,L51=8),+M51/VLOOKUP($DB51,$P$66:$Q$68,2),""))</f>
        <v/>
      </c>
      <c r="DO51" s="156" t="str">
        <f t="shared" ref="DO51:DO60" si="160">+IF(AND(DL51=3,L51=8),+O51,"")</f>
        <v/>
      </c>
      <c r="DP51" s="175" t="str">
        <f t="shared" ref="DP51:DP60" si="161">+IF($H51="","",IF($H51=3,3,""))</f>
        <v/>
      </c>
      <c r="DQ51" s="156" t="str">
        <f t="shared" ref="DQ51:DQ60" si="162">+IF(AND(DP51=3,L51=10),10,"")</f>
        <v/>
      </c>
      <c r="DR51" s="156" t="str">
        <f t="shared" ref="DR51:DR60" si="163">+IF(DB51="","",IF(AND(DP51=3,L51=10),+M51/VLOOKUP($DB51,$P$66:$Q$68,2),""))</f>
        <v/>
      </c>
      <c r="DS51" s="156" t="str">
        <f t="shared" ref="DS51:DS60" si="164">+IF(AND(DP51=3,L51=10),+O51,"")</f>
        <v/>
      </c>
      <c r="DT51" s="175" t="str">
        <f t="shared" ref="DT51:DT60" si="165">+IF($H51="","",IF($H51=3,3,""))</f>
        <v/>
      </c>
      <c r="DU51" s="156" t="str">
        <f t="shared" ref="DU51:DU60" si="166">+IF(AND(DT51=3,L51=12),12,"")</f>
        <v/>
      </c>
      <c r="DV51" s="156" t="str">
        <f t="shared" ref="DV51:DV60" si="167">+IF(DB51="","",IF(AND(DT51=3,L51=12),+M51/VLOOKUP($DB51,$P$66:$Q$68,2),""))</f>
        <v/>
      </c>
      <c r="DW51" s="156" t="str">
        <f t="shared" ref="DW51:DW60" si="168">+IF(AND(DT51=3,L51=12),+O51,"")</f>
        <v/>
      </c>
    </row>
    <row r="52" spans="1:128" ht="12.75" customHeight="1" x14ac:dyDescent="0.15">
      <c r="B52" s="201">
        <f>1+B51</f>
        <v>2</v>
      </c>
      <c r="C52" s="61"/>
      <c r="D52" s="60"/>
      <c r="E52" s="61"/>
      <c r="F52" s="289"/>
      <c r="G52" s="289"/>
      <c r="H52" s="62"/>
      <c r="I52" s="62"/>
      <c r="J52" s="62"/>
      <c r="K52" s="62"/>
      <c r="L52" s="202"/>
      <c r="M52" s="93"/>
      <c r="N52" s="94"/>
      <c r="O52" s="93"/>
      <c r="P52" s="95"/>
      <c r="Q52" s="95"/>
      <c r="R52" s="206"/>
      <c r="S52" s="280" t="str">
        <f t="shared" ref="S52:S60" si="169">IF(C52="","",P52/Q52)</f>
        <v/>
      </c>
      <c r="T52" s="278" t="str">
        <f>IF(D52="","",IF($N$12="X","",+'QA thin lift'!I29))</f>
        <v/>
      </c>
      <c r="U52" s="219"/>
      <c r="V52" s="63" t="str">
        <f t="shared" si="99"/>
        <v/>
      </c>
      <c r="W52" s="64" t="str">
        <f t="shared" si="100"/>
        <v/>
      </c>
      <c r="X52" s="288" t="str">
        <f t="shared" si="101"/>
        <v/>
      </c>
      <c r="Y52" s="284" t="str">
        <f t="shared" si="102"/>
        <v/>
      </c>
      <c r="Z52" s="286" t="str">
        <f t="shared" si="103"/>
        <v/>
      </c>
      <c r="AA52" s="53"/>
      <c r="AB52" s="105"/>
      <c r="AC52" s="105"/>
      <c r="AD52" s="41"/>
      <c r="AE52" s="81"/>
      <c r="AF52" s="96" t="str">
        <f t="shared" si="104"/>
        <v/>
      </c>
      <c r="AG52" s="96" t="str">
        <f t="shared" si="105"/>
        <v/>
      </c>
      <c r="AH52" s="96" t="str">
        <f t="shared" si="106"/>
        <v/>
      </c>
      <c r="AI52" s="96"/>
      <c r="AJ52" s="168"/>
      <c r="AK52" s="192">
        <f t="shared" ref="AK52:AK60" si="170">1+AK51</f>
        <v>2</v>
      </c>
      <c r="AL52" s="174" t="str">
        <f t="shared" si="107"/>
        <v/>
      </c>
      <c r="AM52" s="155">
        <f t="shared" si="108"/>
        <v>2</v>
      </c>
      <c r="AN52" s="175" t="str">
        <f t="shared" si="109"/>
        <v/>
      </c>
      <c r="AO52" s="156" t="str">
        <f t="shared" si="110"/>
        <v/>
      </c>
      <c r="AP52" s="176" t="str">
        <f t="shared" si="111"/>
        <v/>
      </c>
      <c r="AQ52" s="176"/>
      <c r="AR52" s="177" t="str">
        <f>+IF(AND(AN52=1,L56=4),+O52,"")</f>
        <v/>
      </c>
      <c r="AS52" s="156"/>
      <c r="AT52" s="156"/>
      <c r="AU52" s="175" t="str">
        <f t="shared" si="112"/>
        <v/>
      </c>
      <c r="AV52" s="156" t="str">
        <f t="shared" si="113"/>
        <v/>
      </c>
      <c r="AW52" s="176" t="str">
        <f t="shared" si="114"/>
        <v/>
      </c>
      <c r="AX52" s="176"/>
      <c r="AY52" s="156" t="str">
        <f t="shared" si="115"/>
        <v/>
      </c>
      <c r="AZ52" s="156"/>
      <c r="BA52" s="156"/>
      <c r="BB52" s="175" t="str">
        <f t="shared" si="116"/>
        <v/>
      </c>
      <c r="BC52" s="156" t="str">
        <f t="shared" si="117"/>
        <v/>
      </c>
      <c r="BD52" s="176" t="str">
        <f t="shared" si="118"/>
        <v/>
      </c>
      <c r="BE52" s="176"/>
      <c r="BF52" s="156" t="str">
        <f t="shared" si="119"/>
        <v/>
      </c>
      <c r="BG52" s="156"/>
      <c r="BH52" s="156"/>
      <c r="BI52" s="175" t="str">
        <f t="shared" si="120"/>
        <v/>
      </c>
      <c r="BJ52" s="156" t="str">
        <f t="shared" si="121"/>
        <v/>
      </c>
      <c r="BK52" s="156" t="str">
        <f t="shared" si="122"/>
        <v/>
      </c>
      <c r="BL52" s="156" t="str">
        <f t="shared" si="123"/>
        <v/>
      </c>
      <c r="BM52" s="175" t="str">
        <f t="shared" si="124"/>
        <v/>
      </c>
      <c r="BN52" s="156" t="str">
        <f t="shared" si="125"/>
        <v/>
      </c>
      <c r="BO52" s="156" t="str">
        <f t="shared" si="126"/>
        <v/>
      </c>
      <c r="BP52" s="156" t="str">
        <f t="shared" si="127"/>
        <v/>
      </c>
      <c r="BQ52" s="156"/>
      <c r="BR52" s="155"/>
      <c r="BS52" s="155"/>
      <c r="BT52" s="174" t="str">
        <f t="shared" si="128"/>
        <v/>
      </c>
      <c r="BU52" s="155">
        <v>2</v>
      </c>
      <c r="BV52" s="175" t="str">
        <f t="shared" si="129"/>
        <v/>
      </c>
      <c r="BW52" s="156" t="str">
        <f t="shared" si="130"/>
        <v/>
      </c>
      <c r="BX52" s="181" t="str">
        <f t="shared" si="131"/>
        <v/>
      </c>
      <c r="BY52" s="176"/>
      <c r="BZ52" s="156"/>
      <c r="CA52" s="156"/>
      <c r="CB52" s="177" t="str">
        <f t="shared" si="132"/>
        <v/>
      </c>
      <c r="CC52" s="175" t="str">
        <f t="shared" si="133"/>
        <v/>
      </c>
      <c r="CD52" s="156" t="str">
        <f t="shared" si="134"/>
        <v/>
      </c>
      <c r="CE52" s="176" t="str">
        <f t="shared" si="135"/>
        <v/>
      </c>
      <c r="CF52" s="176"/>
      <c r="CG52" s="156" t="str">
        <f t="shared" si="136"/>
        <v/>
      </c>
      <c r="CH52" s="156"/>
      <c r="CI52" s="156"/>
      <c r="CJ52" s="175" t="str">
        <f t="shared" si="137"/>
        <v/>
      </c>
      <c r="CK52" s="156" t="str">
        <f t="shared" si="138"/>
        <v/>
      </c>
      <c r="CL52" s="176" t="str">
        <f t="shared" si="139"/>
        <v/>
      </c>
      <c r="CM52" s="176"/>
      <c r="CN52" s="156" t="str">
        <f t="shared" si="140"/>
        <v/>
      </c>
      <c r="CO52" s="156"/>
      <c r="CP52" s="156"/>
      <c r="CQ52" s="175" t="str">
        <f t="shared" si="141"/>
        <v/>
      </c>
      <c r="CR52" s="156" t="str">
        <f t="shared" si="142"/>
        <v/>
      </c>
      <c r="CS52" s="156" t="str">
        <f t="shared" si="143"/>
        <v/>
      </c>
      <c r="CT52" s="156" t="str">
        <f t="shared" si="144"/>
        <v/>
      </c>
      <c r="CU52" s="175" t="str">
        <f t="shared" si="145"/>
        <v/>
      </c>
      <c r="CV52" s="156" t="str">
        <f t="shared" si="146"/>
        <v/>
      </c>
      <c r="CW52" s="156" t="str">
        <f t="shared" si="147"/>
        <v/>
      </c>
      <c r="CX52" s="156" t="str">
        <f t="shared" si="148"/>
        <v/>
      </c>
      <c r="CY52" s="156"/>
      <c r="CZ52" s="155"/>
      <c r="DA52" s="155"/>
      <c r="DB52" s="174" t="str">
        <f t="shared" si="149"/>
        <v/>
      </c>
      <c r="DC52" s="155">
        <f>+DC51+1</f>
        <v>2</v>
      </c>
      <c r="DD52" s="175" t="str">
        <f t="shared" si="150"/>
        <v/>
      </c>
      <c r="DE52" s="156" t="str">
        <f t="shared" si="151"/>
        <v/>
      </c>
      <c r="DF52" s="181" t="str">
        <f t="shared" ref="DF52:DF60" si="171">+IF(DB52="","",IF(AND(DD52=3,DE52=4),+(M52/VLOOKUP($BT51,$P$66:$Q$68,2)),""))</f>
        <v/>
      </c>
      <c r="DG52" s="177" t="str">
        <f t="shared" si="152"/>
        <v/>
      </c>
      <c r="DH52" s="175" t="str">
        <f t="shared" si="153"/>
        <v/>
      </c>
      <c r="DI52" s="156" t="str">
        <f t="shared" si="154"/>
        <v/>
      </c>
      <c r="DJ52" s="176" t="str">
        <f t="shared" si="155"/>
        <v/>
      </c>
      <c r="DK52" s="156" t="str">
        <f t="shared" si="156"/>
        <v/>
      </c>
      <c r="DL52" s="175" t="str">
        <f t="shared" si="157"/>
        <v/>
      </c>
      <c r="DM52" s="156" t="str">
        <f t="shared" si="158"/>
        <v/>
      </c>
      <c r="DN52" s="176" t="str">
        <f t="shared" si="159"/>
        <v/>
      </c>
      <c r="DO52" s="156" t="str">
        <f t="shared" si="160"/>
        <v/>
      </c>
      <c r="DP52" s="175" t="str">
        <f t="shared" si="161"/>
        <v/>
      </c>
      <c r="DQ52" s="156" t="str">
        <f t="shared" si="162"/>
        <v/>
      </c>
      <c r="DR52" s="156" t="str">
        <f t="shared" si="163"/>
        <v/>
      </c>
      <c r="DS52" s="156" t="str">
        <f t="shared" si="164"/>
        <v/>
      </c>
      <c r="DT52" s="175" t="str">
        <f t="shared" si="165"/>
        <v/>
      </c>
      <c r="DU52" s="156" t="str">
        <f t="shared" si="166"/>
        <v/>
      </c>
      <c r="DV52" s="156" t="str">
        <f t="shared" si="167"/>
        <v/>
      </c>
      <c r="DW52" s="156" t="str">
        <f t="shared" si="168"/>
        <v/>
      </c>
    </row>
    <row r="53" spans="1:128" s="98" customFormat="1" ht="12.75" customHeight="1" thickBot="1" x14ac:dyDescent="0.2">
      <c r="A53" s="53"/>
      <c r="B53" s="201">
        <f t="shared" ref="B53:B60" si="172">1+B52</f>
        <v>3</v>
      </c>
      <c r="C53" s="61"/>
      <c r="D53" s="60"/>
      <c r="E53" s="61"/>
      <c r="F53" s="289"/>
      <c r="G53" s="289"/>
      <c r="H53" s="62"/>
      <c r="I53" s="62"/>
      <c r="J53" s="62"/>
      <c r="K53" s="62"/>
      <c r="L53" s="202"/>
      <c r="M53" s="93"/>
      <c r="N53" s="94"/>
      <c r="O53" s="93"/>
      <c r="P53" s="95"/>
      <c r="Q53" s="95"/>
      <c r="R53" s="206"/>
      <c r="S53" s="280" t="str">
        <f t="shared" si="169"/>
        <v/>
      </c>
      <c r="T53" s="278" t="str">
        <f>IF(D53="","",IF($N$12="X","",+'QA thin lift'!I30))</f>
        <v/>
      </c>
      <c r="U53" s="219"/>
      <c r="V53" s="63" t="str">
        <f t="shared" si="99"/>
        <v/>
      </c>
      <c r="W53" s="64" t="str">
        <f t="shared" si="100"/>
        <v/>
      </c>
      <c r="X53" s="288" t="str">
        <f t="shared" si="101"/>
        <v/>
      </c>
      <c r="Y53" s="284" t="str">
        <f t="shared" si="102"/>
        <v/>
      </c>
      <c r="Z53" s="286" t="str">
        <f t="shared" si="103"/>
        <v/>
      </c>
      <c r="AA53" s="53"/>
      <c r="AB53" s="105"/>
      <c r="AC53" s="105"/>
      <c r="AD53" s="41"/>
      <c r="AF53" s="96" t="str">
        <f t="shared" si="104"/>
        <v/>
      </c>
      <c r="AG53" s="96" t="str">
        <f t="shared" si="105"/>
        <v/>
      </c>
      <c r="AH53" s="96" t="str">
        <f t="shared" si="106"/>
        <v/>
      </c>
      <c r="AI53" s="96"/>
      <c r="AJ53" s="168"/>
      <c r="AK53" s="192">
        <f t="shared" si="170"/>
        <v>3</v>
      </c>
      <c r="AL53" s="174" t="str">
        <f t="shared" si="107"/>
        <v/>
      </c>
      <c r="AM53" s="155">
        <f t="shared" si="108"/>
        <v>3</v>
      </c>
      <c r="AN53" s="175" t="str">
        <f t="shared" si="109"/>
        <v/>
      </c>
      <c r="AO53" s="156" t="str">
        <f t="shared" si="110"/>
        <v/>
      </c>
      <c r="AP53" s="176" t="str">
        <f t="shared" si="111"/>
        <v/>
      </c>
      <c r="AQ53" s="176"/>
      <c r="AR53" s="177" t="str">
        <f>+IF(AND(AN53=1,L57=4),+O53,"")</f>
        <v/>
      </c>
      <c r="AS53" s="156"/>
      <c r="AT53" s="156"/>
      <c r="AU53" s="175" t="str">
        <f t="shared" si="112"/>
        <v/>
      </c>
      <c r="AV53" s="156" t="str">
        <f t="shared" si="113"/>
        <v/>
      </c>
      <c r="AW53" s="176" t="str">
        <f t="shared" si="114"/>
        <v/>
      </c>
      <c r="AX53" s="176"/>
      <c r="AY53" s="156" t="str">
        <f t="shared" si="115"/>
        <v/>
      </c>
      <c r="AZ53" s="156"/>
      <c r="BA53" s="156"/>
      <c r="BB53" s="175" t="str">
        <f t="shared" si="116"/>
        <v/>
      </c>
      <c r="BC53" s="156" t="str">
        <f t="shared" si="117"/>
        <v/>
      </c>
      <c r="BD53" s="176" t="str">
        <f t="shared" si="118"/>
        <v/>
      </c>
      <c r="BE53" s="176"/>
      <c r="BF53" s="156" t="str">
        <f t="shared" si="119"/>
        <v/>
      </c>
      <c r="BG53" s="156"/>
      <c r="BH53" s="156"/>
      <c r="BI53" s="175" t="str">
        <f t="shared" si="120"/>
        <v/>
      </c>
      <c r="BJ53" s="156" t="str">
        <f t="shared" si="121"/>
        <v/>
      </c>
      <c r="BK53" s="156" t="str">
        <f t="shared" si="122"/>
        <v/>
      </c>
      <c r="BL53" s="156" t="str">
        <f t="shared" si="123"/>
        <v/>
      </c>
      <c r="BM53" s="175" t="str">
        <f t="shared" si="124"/>
        <v/>
      </c>
      <c r="BN53" s="156" t="str">
        <f t="shared" si="125"/>
        <v/>
      </c>
      <c r="BO53" s="156" t="str">
        <f t="shared" si="126"/>
        <v/>
      </c>
      <c r="BP53" s="156" t="str">
        <f t="shared" si="127"/>
        <v/>
      </c>
      <c r="BQ53" s="156"/>
      <c r="BR53" s="155"/>
      <c r="BS53" s="155"/>
      <c r="BT53" s="174" t="str">
        <f t="shared" si="128"/>
        <v/>
      </c>
      <c r="BU53" s="155">
        <v>3</v>
      </c>
      <c r="BV53" s="175" t="str">
        <f t="shared" si="129"/>
        <v/>
      </c>
      <c r="BW53" s="156" t="str">
        <f t="shared" si="130"/>
        <v/>
      </c>
      <c r="BX53" s="181" t="str">
        <f t="shared" si="131"/>
        <v/>
      </c>
      <c r="BY53" s="176"/>
      <c r="BZ53" s="156"/>
      <c r="CA53" s="156"/>
      <c r="CB53" s="177" t="str">
        <f t="shared" si="132"/>
        <v/>
      </c>
      <c r="CC53" s="175" t="str">
        <f t="shared" si="133"/>
        <v/>
      </c>
      <c r="CD53" s="156" t="str">
        <f t="shared" si="134"/>
        <v/>
      </c>
      <c r="CE53" s="176" t="str">
        <f t="shared" si="135"/>
        <v/>
      </c>
      <c r="CF53" s="176"/>
      <c r="CG53" s="156" t="str">
        <f t="shared" si="136"/>
        <v/>
      </c>
      <c r="CH53" s="156"/>
      <c r="CI53" s="156"/>
      <c r="CJ53" s="175" t="str">
        <f t="shared" si="137"/>
        <v/>
      </c>
      <c r="CK53" s="156" t="str">
        <f t="shared" si="138"/>
        <v/>
      </c>
      <c r="CL53" s="176" t="str">
        <f t="shared" si="139"/>
        <v/>
      </c>
      <c r="CM53" s="176"/>
      <c r="CN53" s="156" t="str">
        <f t="shared" si="140"/>
        <v/>
      </c>
      <c r="CO53" s="156"/>
      <c r="CP53" s="156"/>
      <c r="CQ53" s="175" t="str">
        <f t="shared" si="141"/>
        <v/>
      </c>
      <c r="CR53" s="156" t="str">
        <f t="shared" si="142"/>
        <v/>
      </c>
      <c r="CS53" s="156" t="str">
        <f t="shared" si="143"/>
        <v/>
      </c>
      <c r="CT53" s="156" t="str">
        <f t="shared" si="144"/>
        <v/>
      </c>
      <c r="CU53" s="175" t="str">
        <f t="shared" si="145"/>
        <v/>
      </c>
      <c r="CV53" s="156" t="str">
        <f t="shared" si="146"/>
        <v/>
      </c>
      <c r="CW53" s="156" t="str">
        <f t="shared" si="147"/>
        <v/>
      </c>
      <c r="CX53" s="156" t="str">
        <f t="shared" si="148"/>
        <v/>
      </c>
      <c r="CY53" s="156"/>
      <c r="CZ53" s="155"/>
      <c r="DA53" s="155"/>
      <c r="DB53" s="174" t="str">
        <f t="shared" si="149"/>
        <v/>
      </c>
      <c r="DC53" s="155">
        <f t="shared" ref="DC53:DC60" si="173">+DC52+1</f>
        <v>3</v>
      </c>
      <c r="DD53" s="175" t="str">
        <f t="shared" si="150"/>
        <v/>
      </c>
      <c r="DE53" s="156" t="str">
        <f t="shared" si="151"/>
        <v/>
      </c>
      <c r="DF53" s="181" t="str">
        <f t="shared" si="171"/>
        <v/>
      </c>
      <c r="DG53" s="177" t="str">
        <f t="shared" si="152"/>
        <v/>
      </c>
      <c r="DH53" s="175" t="str">
        <f t="shared" si="153"/>
        <v/>
      </c>
      <c r="DI53" s="156" t="str">
        <f t="shared" si="154"/>
        <v/>
      </c>
      <c r="DJ53" s="176" t="str">
        <f t="shared" si="155"/>
        <v/>
      </c>
      <c r="DK53" s="156" t="str">
        <f t="shared" si="156"/>
        <v/>
      </c>
      <c r="DL53" s="175" t="str">
        <f t="shared" si="157"/>
        <v/>
      </c>
      <c r="DM53" s="156" t="str">
        <f t="shared" si="158"/>
        <v/>
      </c>
      <c r="DN53" s="176" t="str">
        <f t="shared" si="159"/>
        <v/>
      </c>
      <c r="DO53" s="156" t="str">
        <f t="shared" si="160"/>
        <v/>
      </c>
      <c r="DP53" s="175" t="str">
        <f t="shared" si="161"/>
        <v/>
      </c>
      <c r="DQ53" s="156" t="str">
        <f t="shared" si="162"/>
        <v/>
      </c>
      <c r="DR53" s="156" t="str">
        <f t="shared" si="163"/>
        <v/>
      </c>
      <c r="DS53" s="156" t="str">
        <f t="shared" si="164"/>
        <v/>
      </c>
      <c r="DT53" s="175" t="str">
        <f t="shared" si="165"/>
        <v/>
      </c>
      <c r="DU53" s="156" t="str">
        <f t="shared" si="166"/>
        <v/>
      </c>
      <c r="DV53" s="156" t="str">
        <f t="shared" si="167"/>
        <v/>
      </c>
      <c r="DW53" s="156" t="str">
        <f t="shared" si="168"/>
        <v/>
      </c>
      <c r="DX53" s="81"/>
    </row>
    <row r="54" spans="1:128" ht="12.75" customHeight="1" x14ac:dyDescent="0.15">
      <c r="B54" s="201">
        <f t="shared" si="172"/>
        <v>4</v>
      </c>
      <c r="C54" s="61"/>
      <c r="D54" s="60"/>
      <c r="E54" s="61"/>
      <c r="F54" s="289"/>
      <c r="G54" s="289"/>
      <c r="H54" s="62"/>
      <c r="I54" s="62"/>
      <c r="J54" s="62"/>
      <c r="K54" s="62"/>
      <c r="L54" s="202"/>
      <c r="M54" s="93"/>
      <c r="N54" s="94"/>
      <c r="O54" s="93"/>
      <c r="P54" s="95"/>
      <c r="Q54" s="95"/>
      <c r="R54" s="206"/>
      <c r="S54" s="280" t="str">
        <f t="shared" si="169"/>
        <v/>
      </c>
      <c r="T54" s="278" t="str">
        <f>IF(D54="","",IF($N$12="X","",+'QA thin lift'!I31))</f>
        <v/>
      </c>
      <c r="U54" s="219"/>
      <c r="V54" s="63" t="str">
        <f t="shared" si="99"/>
        <v/>
      </c>
      <c r="W54" s="64" t="str">
        <f t="shared" si="100"/>
        <v/>
      </c>
      <c r="X54" s="288" t="str">
        <f t="shared" si="101"/>
        <v/>
      </c>
      <c r="Y54" s="284" t="str">
        <f t="shared" si="102"/>
        <v/>
      </c>
      <c r="Z54" s="286" t="str">
        <f t="shared" si="103"/>
        <v/>
      </c>
      <c r="AA54" s="53"/>
      <c r="AB54" s="105"/>
      <c r="AC54" s="105"/>
      <c r="AD54" s="41"/>
      <c r="AE54" s="81"/>
      <c r="AF54" s="96" t="str">
        <f t="shared" si="104"/>
        <v/>
      </c>
      <c r="AG54" s="96" t="str">
        <f t="shared" si="105"/>
        <v/>
      </c>
      <c r="AH54" s="96" t="str">
        <f t="shared" si="106"/>
        <v/>
      </c>
      <c r="AI54" s="96"/>
      <c r="AJ54" s="168"/>
      <c r="AK54" s="192">
        <f t="shared" si="170"/>
        <v>4</v>
      </c>
      <c r="AL54" s="174" t="str">
        <f t="shared" si="107"/>
        <v/>
      </c>
      <c r="AM54" s="155">
        <f t="shared" si="108"/>
        <v>4</v>
      </c>
      <c r="AN54" s="175" t="str">
        <f t="shared" si="109"/>
        <v/>
      </c>
      <c r="AO54" s="156" t="str">
        <f t="shared" si="110"/>
        <v/>
      </c>
      <c r="AP54" s="176" t="str">
        <f t="shared" si="111"/>
        <v/>
      </c>
      <c r="AQ54" s="176"/>
      <c r="AR54" s="177" t="str">
        <f>+IF(AND(AN54=1,L58=4),+O54,"")</f>
        <v/>
      </c>
      <c r="AS54" s="156"/>
      <c r="AT54" s="156"/>
      <c r="AU54" s="175" t="str">
        <f t="shared" si="112"/>
        <v/>
      </c>
      <c r="AV54" s="156" t="str">
        <f t="shared" si="113"/>
        <v/>
      </c>
      <c r="AW54" s="176" t="str">
        <f t="shared" si="114"/>
        <v/>
      </c>
      <c r="AX54" s="176"/>
      <c r="AY54" s="156" t="str">
        <f t="shared" si="115"/>
        <v/>
      </c>
      <c r="AZ54" s="156"/>
      <c r="BA54" s="156"/>
      <c r="BB54" s="175" t="str">
        <f t="shared" si="116"/>
        <v/>
      </c>
      <c r="BC54" s="156" t="str">
        <f t="shared" si="117"/>
        <v/>
      </c>
      <c r="BD54" s="176" t="str">
        <f t="shared" si="118"/>
        <v/>
      </c>
      <c r="BE54" s="176"/>
      <c r="BF54" s="156" t="str">
        <f t="shared" si="119"/>
        <v/>
      </c>
      <c r="BG54" s="156"/>
      <c r="BH54" s="156"/>
      <c r="BI54" s="175" t="str">
        <f t="shared" si="120"/>
        <v/>
      </c>
      <c r="BJ54" s="156" t="str">
        <f t="shared" si="121"/>
        <v/>
      </c>
      <c r="BK54" s="156" t="str">
        <f t="shared" si="122"/>
        <v/>
      </c>
      <c r="BL54" s="156" t="str">
        <f t="shared" si="123"/>
        <v/>
      </c>
      <c r="BM54" s="175" t="str">
        <f t="shared" si="124"/>
        <v/>
      </c>
      <c r="BN54" s="156" t="str">
        <f t="shared" si="125"/>
        <v/>
      </c>
      <c r="BO54" s="156" t="str">
        <f t="shared" si="126"/>
        <v/>
      </c>
      <c r="BP54" s="156" t="str">
        <f t="shared" si="127"/>
        <v/>
      </c>
      <c r="BQ54" s="156"/>
      <c r="BR54" s="155"/>
      <c r="BS54" s="155"/>
      <c r="BT54" s="174" t="str">
        <f t="shared" si="128"/>
        <v/>
      </c>
      <c r="BU54" s="155">
        <v>4</v>
      </c>
      <c r="BV54" s="175" t="str">
        <f t="shared" si="129"/>
        <v/>
      </c>
      <c r="BW54" s="156" t="str">
        <f t="shared" si="130"/>
        <v/>
      </c>
      <c r="BX54" s="181" t="str">
        <f t="shared" si="131"/>
        <v/>
      </c>
      <c r="BY54" s="176"/>
      <c r="BZ54" s="156"/>
      <c r="CA54" s="156"/>
      <c r="CB54" s="177" t="str">
        <f t="shared" si="132"/>
        <v/>
      </c>
      <c r="CC54" s="175" t="str">
        <f t="shared" si="133"/>
        <v/>
      </c>
      <c r="CD54" s="156" t="str">
        <f t="shared" si="134"/>
        <v/>
      </c>
      <c r="CE54" s="176" t="str">
        <f t="shared" si="135"/>
        <v/>
      </c>
      <c r="CF54" s="176"/>
      <c r="CG54" s="156" t="str">
        <f t="shared" si="136"/>
        <v/>
      </c>
      <c r="CH54" s="156"/>
      <c r="CI54" s="156"/>
      <c r="CJ54" s="175" t="str">
        <f t="shared" si="137"/>
        <v/>
      </c>
      <c r="CK54" s="156" t="str">
        <f t="shared" si="138"/>
        <v/>
      </c>
      <c r="CL54" s="176" t="str">
        <f t="shared" si="139"/>
        <v/>
      </c>
      <c r="CM54" s="176"/>
      <c r="CN54" s="156" t="str">
        <f t="shared" si="140"/>
        <v/>
      </c>
      <c r="CO54" s="156"/>
      <c r="CP54" s="156"/>
      <c r="CQ54" s="175" t="str">
        <f t="shared" si="141"/>
        <v/>
      </c>
      <c r="CR54" s="156" t="str">
        <f t="shared" si="142"/>
        <v/>
      </c>
      <c r="CS54" s="156" t="str">
        <f t="shared" si="143"/>
        <v/>
      </c>
      <c r="CT54" s="156" t="str">
        <f t="shared" si="144"/>
        <v/>
      </c>
      <c r="CU54" s="175" t="str">
        <f t="shared" si="145"/>
        <v/>
      </c>
      <c r="CV54" s="156" t="str">
        <f t="shared" si="146"/>
        <v/>
      </c>
      <c r="CW54" s="156" t="str">
        <f t="shared" si="147"/>
        <v/>
      </c>
      <c r="CX54" s="156" t="str">
        <f t="shared" si="148"/>
        <v/>
      </c>
      <c r="CY54" s="156"/>
      <c r="CZ54" s="155"/>
      <c r="DA54" s="155"/>
      <c r="DB54" s="174" t="str">
        <f t="shared" si="149"/>
        <v/>
      </c>
      <c r="DC54" s="155">
        <f t="shared" si="173"/>
        <v>4</v>
      </c>
      <c r="DD54" s="175" t="str">
        <f t="shared" si="150"/>
        <v/>
      </c>
      <c r="DE54" s="156" t="str">
        <f t="shared" si="151"/>
        <v/>
      </c>
      <c r="DF54" s="181" t="str">
        <f t="shared" si="171"/>
        <v/>
      </c>
      <c r="DG54" s="177" t="str">
        <f t="shared" si="152"/>
        <v/>
      </c>
      <c r="DH54" s="175" t="str">
        <f t="shared" si="153"/>
        <v/>
      </c>
      <c r="DI54" s="156" t="str">
        <f t="shared" si="154"/>
        <v/>
      </c>
      <c r="DJ54" s="176" t="str">
        <f t="shared" si="155"/>
        <v/>
      </c>
      <c r="DK54" s="156" t="str">
        <f t="shared" si="156"/>
        <v/>
      </c>
      <c r="DL54" s="175" t="str">
        <f t="shared" si="157"/>
        <v/>
      </c>
      <c r="DM54" s="156" t="str">
        <f t="shared" si="158"/>
        <v/>
      </c>
      <c r="DN54" s="176" t="str">
        <f t="shared" si="159"/>
        <v/>
      </c>
      <c r="DO54" s="156" t="str">
        <f t="shared" si="160"/>
        <v/>
      </c>
      <c r="DP54" s="175" t="str">
        <f t="shared" si="161"/>
        <v/>
      </c>
      <c r="DQ54" s="156" t="str">
        <f t="shared" si="162"/>
        <v/>
      </c>
      <c r="DR54" s="156" t="str">
        <f t="shared" si="163"/>
        <v/>
      </c>
      <c r="DS54" s="156" t="str">
        <f t="shared" si="164"/>
        <v/>
      </c>
      <c r="DT54" s="175" t="str">
        <f t="shared" si="165"/>
        <v/>
      </c>
      <c r="DU54" s="156" t="str">
        <f t="shared" si="166"/>
        <v/>
      </c>
      <c r="DV54" s="156" t="str">
        <f t="shared" si="167"/>
        <v/>
      </c>
      <c r="DW54" s="156" t="str">
        <f t="shared" si="168"/>
        <v/>
      </c>
    </row>
    <row r="55" spans="1:128" ht="12.75" customHeight="1" x14ac:dyDescent="0.15">
      <c r="B55" s="201">
        <f t="shared" si="172"/>
        <v>5</v>
      </c>
      <c r="C55" s="68"/>
      <c r="D55" s="60"/>
      <c r="E55" s="61"/>
      <c r="F55" s="289"/>
      <c r="G55" s="289"/>
      <c r="H55" s="62"/>
      <c r="I55" s="62"/>
      <c r="J55" s="62"/>
      <c r="K55" s="62"/>
      <c r="L55" s="202"/>
      <c r="M55" s="93"/>
      <c r="N55" s="94"/>
      <c r="O55" s="93"/>
      <c r="P55" s="95"/>
      <c r="Q55" s="95"/>
      <c r="R55" s="206"/>
      <c r="S55" s="280" t="str">
        <f t="shared" si="169"/>
        <v/>
      </c>
      <c r="T55" s="278" t="str">
        <f>IF(D55="","",IF($N$12="X","",+'QA thin lift'!I32))</f>
        <v/>
      </c>
      <c r="U55" s="219"/>
      <c r="V55" s="63" t="str">
        <f t="shared" si="99"/>
        <v/>
      </c>
      <c r="W55" s="64" t="str">
        <f t="shared" si="100"/>
        <v/>
      </c>
      <c r="X55" s="288" t="str">
        <f t="shared" si="101"/>
        <v/>
      </c>
      <c r="Y55" s="284" t="str">
        <f t="shared" si="102"/>
        <v/>
      </c>
      <c r="Z55" s="286" t="str">
        <f t="shared" si="103"/>
        <v/>
      </c>
      <c r="AA55" s="53"/>
      <c r="AB55" s="105"/>
      <c r="AC55" s="105"/>
      <c r="AD55" s="41"/>
      <c r="AE55" s="81"/>
      <c r="AF55" s="96" t="str">
        <f t="shared" si="104"/>
        <v/>
      </c>
      <c r="AG55" s="96" t="str">
        <f t="shared" si="105"/>
        <v/>
      </c>
      <c r="AH55" s="96" t="str">
        <f t="shared" si="106"/>
        <v/>
      </c>
      <c r="AI55" s="96" t="str">
        <f>+IF(H55=1,X55,"")</f>
        <v/>
      </c>
      <c r="AJ55" s="168"/>
      <c r="AK55" s="192">
        <f t="shared" si="170"/>
        <v>5</v>
      </c>
      <c r="AL55" s="174" t="str">
        <f t="shared" si="107"/>
        <v/>
      </c>
      <c r="AM55" s="155">
        <f t="shared" si="108"/>
        <v>5</v>
      </c>
      <c r="AN55" s="175" t="str">
        <f t="shared" si="109"/>
        <v/>
      </c>
      <c r="AO55" s="156" t="str">
        <f t="shared" si="110"/>
        <v/>
      </c>
      <c r="AP55" s="176" t="str">
        <f t="shared" si="111"/>
        <v/>
      </c>
      <c r="AQ55" s="176"/>
      <c r="AR55" s="177" t="str">
        <f>+IF(AND(AN55=1,L59=4),+O55,"")</f>
        <v/>
      </c>
      <c r="AS55" s="156"/>
      <c r="AT55" s="156"/>
      <c r="AU55" s="175" t="str">
        <f t="shared" si="112"/>
        <v/>
      </c>
      <c r="AV55" s="156" t="str">
        <f t="shared" si="113"/>
        <v/>
      </c>
      <c r="AW55" s="176" t="str">
        <f t="shared" si="114"/>
        <v/>
      </c>
      <c r="AX55" s="176"/>
      <c r="AY55" s="156" t="str">
        <f t="shared" si="115"/>
        <v/>
      </c>
      <c r="AZ55" s="156"/>
      <c r="BA55" s="156"/>
      <c r="BB55" s="175" t="str">
        <f t="shared" si="116"/>
        <v/>
      </c>
      <c r="BC55" s="156" t="str">
        <f t="shared" si="117"/>
        <v/>
      </c>
      <c r="BD55" s="176" t="str">
        <f t="shared" si="118"/>
        <v/>
      </c>
      <c r="BE55" s="176"/>
      <c r="BF55" s="156" t="str">
        <f t="shared" si="119"/>
        <v/>
      </c>
      <c r="BG55" s="156"/>
      <c r="BH55" s="156"/>
      <c r="BI55" s="175" t="str">
        <f t="shared" si="120"/>
        <v/>
      </c>
      <c r="BJ55" s="156" t="str">
        <f t="shared" si="121"/>
        <v/>
      </c>
      <c r="BK55" s="156" t="str">
        <f t="shared" si="122"/>
        <v/>
      </c>
      <c r="BL55" s="156" t="str">
        <f t="shared" si="123"/>
        <v/>
      </c>
      <c r="BM55" s="175" t="str">
        <f t="shared" si="124"/>
        <v/>
      </c>
      <c r="BN55" s="156" t="str">
        <f t="shared" si="125"/>
        <v/>
      </c>
      <c r="BO55" s="156" t="str">
        <f t="shared" si="126"/>
        <v/>
      </c>
      <c r="BP55" s="156" t="str">
        <f t="shared" si="127"/>
        <v/>
      </c>
      <c r="BQ55" s="156"/>
      <c r="BR55" s="155"/>
      <c r="BS55" s="155"/>
      <c r="BT55" s="174" t="str">
        <f t="shared" si="128"/>
        <v/>
      </c>
      <c r="BU55" s="155">
        <v>5</v>
      </c>
      <c r="BV55" s="175" t="str">
        <f t="shared" si="129"/>
        <v/>
      </c>
      <c r="BW55" s="156" t="str">
        <f t="shared" si="130"/>
        <v/>
      </c>
      <c r="BX55" s="181" t="str">
        <f t="shared" si="131"/>
        <v/>
      </c>
      <c r="BY55" s="176"/>
      <c r="BZ55" s="156"/>
      <c r="CA55" s="156"/>
      <c r="CB55" s="177" t="str">
        <f t="shared" si="132"/>
        <v/>
      </c>
      <c r="CC55" s="175" t="str">
        <f t="shared" si="133"/>
        <v/>
      </c>
      <c r="CD55" s="156" t="str">
        <f t="shared" si="134"/>
        <v/>
      </c>
      <c r="CE55" s="176" t="str">
        <f t="shared" si="135"/>
        <v/>
      </c>
      <c r="CF55" s="176"/>
      <c r="CG55" s="156" t="str">
        <f t="shared" si="136"/>
        <v/>
      </c>
      <c r="CH55" s="156"/>
      <c r="CI55" s="156"/>
      <c r="CJ55" s="175" t="str">
        <f t="shared" si="137"/>
        <v/>
      </c>
      <c r="CK55" s="156" t="str">
        <f t="shared" si="138"/>
        <v/>
      </c>
      <c r="CL55" s="176" t="str">
        <f t="shared" si="139"/>
        <v/>
      </c>
      <c r="CM55" s="176"/>
      <c r="CN55" s="156" t="str">
        <f t="shared" si="140"/>
        <v/>
      </c>
      <c r="CO55" s="156"/>
      <c r="CP55" s="156"/>
      <c r="CQ55" s="175" t="str">
        <f t="shared" si="141"/>
        <v/>
      </c>
      <c r="CR55" s="156" t="str">
        <f t="shared" si="142"/>
        <v/>
      </c>
      <c r="CS55" s="156" t="str">
        <f t="shared" si="143"/>
        <v/>
      </c>
      <c r="CT55" s="156" t="str">
        <f t="shared" si="144"/>
        <v/>
      </c>
      <c r="CU55" s="175" t="str">
        <f t="shared" si="145"/>
        <v/>
      </c>
      <c r="CV55" s="156" t="str">
        <f t="shared" si="146"/>
        <v/>
      </c>
      <c r="CW55" s="156" t="str">
        <f t="shared" si="147"/>
        <v/>
      </c>
      <c r="CX55" s="156" t="str">
        <f t="shared" si="148"/>
        <v/>
      </c>
      <c r="CY55" s="156"/>
      <c r="CZ55" s="155"/>
      <c r="DA55" s="155"/>
      <c r="DB55" s="174" t="str">
        <f t="shared" si="149"/>
        <v/>
      </c>
      <c r="DC55" s="155">
        <f t="shared" si="173"/>
        <v>5</v>
      </c>
      <c r="DD55" s="175" t="str">
        <f t="shared" si="150"/>
        <v/>
      </c>
      <c r="DE55" s="156" t="str">
        <f t="shared" si="151"/>
        <v/>
      </c>
      <c r="DF55" s="181" t="str">
        <f t="shared" si="171"/>
        <v/>
      </c>
      <c r="DG55" s="177" t="str">
        <f t="shared" si="152"/>
        <v/>
      </c>
      <c r="DH55" s="175" t="str">
        <f t="shared" si="153"/>
        <v/>
      </c>
      <c r="DI55" s="156" t="str">
        <f t="shared" si="154"/>
        <v/>
      </c>
      <c r="DJ55" s="176" t="str">
        <f t="shared" si="155"/>
        <v/>
      </c>
      <c r="DK55" s="156" t="str">
        <f t="shared" si="156"/>
        <v/>
      </c>
      <c r="DL55" s="175" t="str">
        <f t="shared" si="157"/>
        <v/>
      </c>
      <c r="DM55" s="156" t="str">
        <f t="shared" si="158"/>
        <v/>
      </c>
      <c r="DN55" s="176" t="str">
        <f t="shared" si="159"/>
        <v/>
      </c>
      <c r="DO55" s="156" t="str">
        <f t="shared" si="160"/>
        <v/>
      </c>
      <c r="DP55" s="175" t="str">
        <f t="shared" si="161"/>
        <v/>
      </c>
      <c r="DQ55" s="156" t="str">
        <f t="shared" si="162"/>
        <v/>
      </c>
      <c r="DR55" s="156" t="str">
        <f t="shared" si="163"/>
        <v/>
      </c>
      <c r="DS55" s="156" t="str">
        <f t="shared" si="164"/>
        <v/>
      </c>
      <c r="DT55" s="175" t="str">
        <f t="shared" si="165"/>
        <v/>
      </c>
      <c r="DU55" s="156" t="str">
        <f t="shared" si="166"/>
        <v/>
      </c>
      <c r="DV55" s="156" t="str">
        <f t="shared" si="167"/>
        <v/>
      </c>
      <c r="DW55" s="156" t="str">
        <f t="shared" si="168"/>
        <v/>
      </c>
    </row>
    <row r="56" spans="1:128" s="87" customFormat="1" ht="12.75" customHeight="1" thickBot="1" x14ac:dyDescent="0.2">
      <c r="A56" s="53"/>
      <c r="B56" s="201">
        <f t="shared" si="172"/>
        <v>6</v>
      </c>
      <c r="C56" s="68"/>
      <c r="D56" s="60"/>
      <c r="E56" s="61"/>
      <c r="F56" s="289"/>
      <c r="G56" s="289"/>
      <c r="H56" s="62"/>
      <c r="I56" s="62"/>
      <c r="J56" s="62"/>
      <c r="K56" s="62"/>
      <c r="L56" s="202"/>
      <c r="M56" s="93"/>
      <c r="N56" s="94"/>
      <c r="O56" s="93"/>
      <c r="P56" s="95"/>
      <c r="Q56" s="206"/>
      <c r="R56" s="206"/>
      <c r="S56" s="280" t="str">
        <f t="shared" si="169"/>
        <v/>
      </c>
      <c r="T56" s="278" t="str">
        <f>IF(D56="","",IF($N$12="X","",+'QA thin lift'!I33))</f>
        <v/>
      </c>
      <c r="U56" s="219"/>
      <c r="V56" s="63" t="str">
        <f t="shared" si="99"/>
        <v/>
      </c>
      <c r="W56" s="64" t="str">
        <f t="shared" si="100"/>
        <v/>
      </c>
      <c r="X56" s="288" t="str">
        <f t="shared" si="101"/>
        <v/>
      </c>
      <c r="Y56" s="284" t="str">
        <f t="shared" si="102"/>
        <v/>
      </c>
      <c r="Z56" s="286" t="str">
        <f t="shared" si="103"/>
        <v/>
      </c>
      <c r="AA56" s="53"/>
      <c r="AB56" s="105"/>
      <c r="AC56" s="105"/>
      <c r="AD56" s="41"/>
      <c r="AE56" s="41"/>
      <c r="AF56" s="96" t="str">
        <f t="shared" si="104"/>
        <v/>
      </c>
      <c r="AG56" s="96" t="str">
        <f t="shared" si="105"/>
        <v/>
      </c>
      <c r="AH56" s="96" t="str">
        <f t="shared" si="106"/>
        <v/>
      </c>
      <c r="AI56" s="96" t="str">
        <f>+IF(H56=1,X56,"")</f>
        <v/>
      </c>
      <c r="AJ56" s="168"/>
      <c r="AK56" s="192">
        <f t="shared" si="170"/>
        <v>6</v>
      </c>
      <c r="AL56" s="174" t="str">
        <f t="shared" si="107"/>
        <v/>
      </c>
      <c r="AM56" s="155">
        <f t="shared" si="108"/>
        <v>6</v>
      </c>
      <c r="AN56" s="175" t="str">
        <f t="shared" si="109"/>
        <v/>
      </c>
      <c r="AO56" s="156" t="str">
        <f t="shared" si="110"/>
        <v/>
      </c>
      <c r="AP56" s="176" t="str">
        <f t="shared" si="111"/>
        <v/>
      </c>
      <c r="AQ56" s="176"/>
      <c r="AR56" s="177" t="str">
        <f>+IF(AND(AN56=1,L56=4),+O56,"")</f>
        <v/>
      </c>
      <c r="AS56" s="156"/>
      <c r="AT56" s="156"/>
      <c r="AU56" s="175" t="str">
        <f t="shared" si="112"/>
        <v/>
      </c>
      <c r="AV56" s="156" t="str">
        <f t="shared" si="113"/>
        <v/>
      </c>
      <c r="AW56" s="176" t="str">
        <f t="shared" si="114"/>
        <v/>
      </c>
      <c r="AX56" s="176"/>
      <c r="AY56" s="156" t="str">
        <f t="shared" si="115"/>
        <v/>
      </c>
      <c r="AZ56" s="156"/>
      <c r="BA56" s="156"/>
      <c r="BB56" s="175" t="str">
        <f t="shared" si="116"/>
        <v/>
      </c>
      <c r="BC56" s="156" t="str">
        <f t="shared" si="117"/>
        <v/>
      </c>
      <c r="BD56" s="176" t="str">
        <f t="shared" si="118"/>
        <v/>
      </c>
      <c r="BE56" s="176"/>
      <c r="BF56" s="156" t="str">
        <f t="shared" si="119"/>
        <v/>
      </c>
      <c r="BG56" s="156"/>
      <c r="BH56" s="156"/>
      <c r="BI56" s="175" t="str">
        <f t="shared" si="120"/>
        <v/>
      </c>
      <c r="BJ56" s="156" t="str">
        <f t="shared" si="121"/>
        <v/>
      </c>
      <c r="BK56" s="156" t="str">
        <f t="shared" si="122"/>
        <v/>
      </c>
      <c r="BL56" s="156" t="str">
        <f t="shared" si="123"/>
        <v/>
      </c>
      <c r="BM56" s="175" t="str">
        <f t="shared" si="124"/>
        <v/>
      </c>
      <c r="BN56" s="156" t="str">
        <f t="shared" si="125"/>
        <v/>
      </c>
      <c r="BO56" s="156" t="str">
        <f t="shared" si="126"/>
        <v/>
      </c>
      <c r="BP56" s="156" t="str">
        <f t="shared" si="127"/>
        <v/>
      </c>
      <c r="BQ56" s="156"/>
      <c r="BR56" s="155"/>
      <c r="BS56" s="155"/>
      <c r="BT56" s="174" t="str">
        <f t="shared" si="128"/>
        <v/>
      </c>
      <c r="BU56" s="155">
        <v>6</v>
      </c>
      <c r="BV56" s="175" t="str">
        <f t="shared" si="129"/>
        <v/>
      </c>
      <c r="BW56" s="156" t="str">
        <f t="shared" si="130"/>
        <v/>
      </c>
      <c r="BX56" s="181" t="str">
        <f t="shared" si="131"/>
        <v/>
      </c>
      <c r="BY56" s="176"/>
      <c r="BZ56" s="156"/>
      <c r="CA56" s="156"/>
      <c r="CB56" s="177" t="str">
        <f t="shared" si="132"/>
        <v/>
      </c>
      <c r="CC56" s="175" t="str">
        <f t="shared" si="133"/>
        <v/>
      </c>
      <c r="CD56" s="156" t="str">
        <f t="shared" si="134"/>
        <v/>
      </c>
      <c r="CE56" s="176" t="str">
        <f t="shared" si="135"/>
        <v/>
      </c>
      <c r="CF56" s="176"/>
      <c r="CG56" s="156" t="str">
        <f t="shared" si="136"/>
        <v/>
      </c>
      <c r="CH56" s="156"/>
      <c r="CI56" s="156"/>
      <c r="CJ56" s="175" t="str">
        <f t="shared" si="137"/>
        <v/>
      </c>
      <c r="CK56" s="156" t="str">
        <f t="shared" si="138"/>
        <v/>
      </c>
      <c r="CL56" s="176" t="str">
        <f t="shared" si="139"/>
        <v/>
      </c>
      <c r="CM56" s="176"/>
      <c r="CN56" s="156" t="str">
        <f t="shared" si="140"/>
        <v/>
      </c>
      <c r="CO56" s="156"/>
      <c r="CP56" s="156"/>
      <c r="CQ56" s="175" t="str">
        <f t="shared" si="141"/>
        <v/>
      </c>
      <c r="CR56" s="156" t="str">
        <f t="shared" si="142"/>
        <v/>
      </c>
      <c r="CS56" s="156" t="str">
        <f t="shared" si="143"/>
        <v/>
      </c>
      <c r="CT56" s="156" t="str">
        <f t="shared" si="144"/>
        <v/>
      </c>
      <c r="CU56" s="175" t="str">
        <f t="shared" si="145"/>
        <v/>
      </c>
      <c r="CV56" s="156" t="str">
        <f t="shared" si="146"/>
        <v/>
      </c>
      <c r="CW56" s="156" t="str">
        <f t="shared" si="147"/>
        <v/>
      </c>
      <c r="CX56" s="156" t="str">
        <f t="shared" si="148"/>
        <v/>
      </c>
      <c r="CY56" s="156"/>
      <c r="CZ56" s="155"/>
      <c r="DA56" s="155"/>
      <c r="DB56" s="174" t="str">
        <f t="shared" si="149"/>
        <v/>
      </c>
      <c r="DC56" s="155">
        <f t="shared" si="173"/>
        <v>6</v>
      </c>
      <c r="DD56" s="175" t="str">
        <f t="shared" si="150"/>
        <v/>
      </c>
      <c r="DE56" s="156" t="str">
        <f t="shared" si="151"/>
        <v/>
      </c>
      <c r="DF56" s="181" t="str">
        <f t="shared" si="171"/>
        <v/>
      </c>
      <c r="DG56" s="177" t="str">
        <f t="shared" si="152"/>
        <v/>
      </c>
      <c r="DH56" s="175" t="str">
        <f t="shared" si="153"/>
        <v/>
      </c>
      <c r="DI56" s="156" t="str">
        <f t="shared" si="154"/>
        <v/>
      </c>
      <c r="DJ56" s="176" t="str">
        <f t="shared" si="155"/>
        <v/>
      </c>
      <c r="DK56" s="156" t="str">
        <f t="shared" si="156"/>
        <v/>
      </c>
      <c r="DL56" s="175" t="str">
        <f t="shared" si="157"/>
        <v/>
      </c>
      <c r="DM56" s="156" t="str">
        <f t="shared" si="158"/>
        <v/>
      </c>
      <c r="DN56" s="176" t="str">
        <f t="shared" si="159"/>
        <v/>
      </c>
      <c r="DO56" s="156" t="str">
        <f t="shared" si="160"/>
        <v/>
      </c>
      <c r="DP56" s="175" t="str">
        <f t="shared" si="161"/>
        <v/>
      </c>
      <c r="DQ56" s="156" t="str">
        <f t="shared" si="162"/>
        <v/>
      </c>
      <c r="DR56" s="156" t="str">
        <f t="shared" si="163"/>
        <v/>
      </c>
      <c r="DS56" s="156" t="str">
        <f t="shared" si="164"/>
        <v/>
      </c>
      <c r="DT56" s="175" t="str">
        <f t="shared" si="165"/>
        <v/>
      </c>
      <c r="DU56" s="156" t="str">
        <f t="shared" si="166"/>
        <v/>
      </c>
      <c r="DV56" s="156" t="str">
        <f t="shared" si="167"/>
        <v/>
      </c>
      <c r="DW56" s="156" t="str">
        <f t="shared" si="168"/>
        <v/>
      </c>
      <c r="DX56" s="81"/>
    </row>
    <row r="57" spans="1:128" ht="12.75" customHeight="1" thickTop="1" x14ac:dyDescent="0.15">
      <c r="B57" s="201">
        <f t="shared" si="172"/>
        <v>7</v>
      </c>
      <c r="C57" s="68"/>
      <c r="D57" s="60"/>
      <c r="E57" s="61"/>
      <c r="F57" s="289"/>
      <c r="G57" s="289"/>
      <c r="H57" s="62"/>
      <c r="I57" s="62"/>
      <c r="J57" s="62"/>
      <c r="K57" s="62"/>
      <c r="L57" s="202"/>
      <c r="M57" s="93"/>
      <c r="N57" s="94"/>
      <c r="O57" s="93"/>
      <c r="P57" s="95"/>
      <c r="Q57" s="206"/>
      <c r="R57" s="206"/>
      <c r="S57" s="280" t="str">
        <f t="shared" si="169"/>
        <v/>
      </c>
      <c r="T57" s="278" t="str">
        <f>IF(D57="","",IF($N$12="X","",+'QA thin lift'!I34))</f>
        <v/>
      </c>
      <c r="U57" s="219"/>
      <c r="V57" s="63" t="str">
        <f t="shared" si="99"/>
        <v/>
      </c>
      <c r="W57" s="64" t="str">
        <f t="shared" si="100"/>
        <v/>
      </c>
      <c r="X57" s="288" t="str">
        <f t="shared" si="101"/>
        <v/>
      </c>
      <c r="Y57" s="284" t="str">
        <f t="shared" si="102"/>
        <v/>
      </c>
      <c r="Z57" s="286" t="str">
        <f t="shared" si="103"/>
        <v/>
      </c>
      <c r="AA57" s="53"/>
      <c r="AB57" s="105"/>
      <c r="AC57" s="105"/>
      <c r="AD57" s="41"/>
      <c r="AE57" s="41"/>
      <c r="AF57" s="96" t="str">
        <f t="shared" si="104"/>
        <v/>
      </c>
      <c r="AG57" s="96" t="str">
        <f t="shared" si="105"/>
        <v/>
      </c>
      <c r="AH57" s="96" t="str">
        <f t="shared" si="106"/>
        <v/>
      </c>
      <c r="AI57" s="96" t="str">
        <f>+IF(H57=1,X57,"")</f>
        <v/>
      </c>
      <c r="AJ57" s="168"/>
      <c r="AK57" s="192">
        <f t="shared" si="170"/>
        <v>7</v>
      </c>
      <c r="AL57" s="174" t="str">
        <f t="shared" si="107"/>
        <v/>
      </c>
      <c r="AM57" s="155">
        <f t="shared" si="108"/>
        <v>7</v>
      </c>
      <c r="AN57" s="175" t="str">
        <f t="shared" si="109"/>
        <v/>
      </c>
      <c r="AO57" s="156" t="str">
        <f t="shared" si="110"/>
        <v/>
      </c>
      <c r="AP57" s="176" t="str">
        <f t="shared" si="111"/>
        <v/>
      </c>
      <c r="AQ57" s="176"/>
      <c r="AR57" s="177" t="str">
        <f>+IF(AND(AN57=1,L57=4),+O57,"")</f>
        <v/>
      </c>
      <c r="AS57" s="156"/>
      <c r="AT57" s="156"/>
      <c r="AU57" s="175" t="str">
        <f t="shared" si="112"/>
        <v/>
      </c>
      <c r="AV57" s="156" t="str">
        <f t="shared" si="113"/>
        <v/>
      </c>
      <c r="AW57" s="176" t="str">
        <f t="shared" si="114"/>
        <v/>
      </c>
      <c r="AX57" s="176"/>
      <c r="AY57" s="156" t="str">
        <f t="shared" si="115"/>
        <v/>
      </c>
      <c r="AZ57" s="156"/>
      <c r="BA57" s="156"/>
      <c r="BB57" s="175" t="str">
        <f t="shared" si="116"/>
        <v/>
      </c>
      <c r="BC57" s="156" t="str">
        <f t="shared" si="117"/>
        <v/>
      </c>
      <c r="BD57" s="176" t="str">
        <f t="shared" si="118"/>
        <v/>
      </c>
      <c r="BE57" s="176"/>
      <c r="BF57" s="156" t="str">
        <f t="shared" si="119"/>
        <v/>
      </c>
      <c r="BG57" s="156"/>
      <c r="BH57" s="156"/>
      <c r="BI57" s="175" t="str">
        <f t="shared" si="120"/>
        <v/>
      </c>
      <c r="BJ57" s="156" t="str">
        <f t="shared" si="121"/>
        <v/>
      </c>
      <c r="BK57" s="156" t="str">
        <f t="shared" si="122"/>
        <v/>
      </c>
      <c r="BL57" s="156" t="str">
        <f t="shared" si="123"/>
        <v/>
      </c>
      <c r="BM57" s="175" t="str">
        <f t="shared" si="124"/>
        <v/>
      </c>
      <c r="BN57" s="156" t="str">
        <f t="shared" si="125"/>
        <v/>
      </c>
      <c r="BO57" s="156" t="str">
        <f t="shared" si="126"/>
        <v/>
      </c>
      <c r="BP57" s="156" t="str">
        <f t="shared" si="127"/>
        <v/>
      </c>
      <c r="BQ57" s="155"/>
      <c r="BR57" s="155"/>
      <c r="BS57" s="155"/>
      <c r="BT57" s="174" t="str">
        <f t="shared" si="128"/>
        <v/>
      </c>
      <c r="BU57" s="155">
        <v>7</v>
      </c>
      <c r="BV57" s="175" t="str">
        <f t="shared" si="129"/>
        <v/>
      </c>
      <c r="BW57" s="156" t="str">
        <f t="shared" si="130"/>
        <v/>
      </c>
      <c r="BX57" s="181" t="str">
        <f t="shared" si="131"/>
        <v/>
      </c>
      <c r="BY57" s="176"/>
      <c r="BZ57" s="156"/>
      <c r="CA57" s="156"/>
      <c r="CB57" s="177" t="str">
        <f t="shared" si="132"/>
        <v/>
      </c>
      <c r="CC57" s="175" t="str">
        <f t="shared" si="133"/>
        <v/>
      </c>
      <c r="CD57" s="156" t="str">
        <f t="shared" si="134"/>
        <v/>
      </c>
      <c r="CE57" s="176" t="str">
        <f t="shared" si="135"/>
        <v/>
      </c>
      <c r="CF57" s="176"/>
      <c r="CG57" s="156" t="str">
        <f t="shared" si="136"/>
        <v/>
      </c>
      <c r="CH57" s="156"/>
      <c r="CI57" s="156"/>
      <c r="CJ57" s="175" t="str">
        <f t="shared" si="137"/>
        <v/>
      </c>
      <c r="CK57" s="156" t="str">
        <f t="shared" si="138"/>
        <v/>
      </c>
      <c r="CL57" s="176" t="str">
        <f t="shared" si="139"/>
        <v/>
      </c>
      <c r="CM57" s="176"/>
      <c r="CN57" s="156" t="str">
        <f t="shared" si="140"/>
        <v/>
      </c>
      <c r="CO57" s="156"/>
      <c r="CP57" s="156"/>
      <c r="CQ57" s="175" t="str">
        <f t="shared" si="141"/>
        <v/>
      </c>
      <c r="CR57" s="156" t="str">
        <f t="shared" si="142"/>
        <v/>
      </c>
      <c r="CS57" s="156" t="str">
        <f t="shared" si="143"/>
        <v/>
      </c>
      <c r="CT57" s="156" t="str">
        <f t="shared" si="144"/>
        <v/>
      </c>
      <c r="CU57" s="175" t="str">
        <f t="shared" si="145"/>
        <v/>
      </c>
      <c r="CV57" s="156" t="str">
        <f t="shared" si="146"/>
        <v/>
      </c>
      <c r="CW57" s="156" t="str">
        <f t="shared" si="147"/>
        <v/>
      </c>
      <c r="CX57" s="156" t="str">
        <f t="shared" si="148"/>
        <v/>
      </c>
      <c r="CY57" s="156"/>
      <c r="CZ57" s="155"/>
      <c r="DA57" s="155"/>
      <c r="DB57" s="174" t="str">
        <f t="shared" si="149"/>
        <v/>
      </c>
      <c r="DC57" s="155">
        <f t="shared" si="173"/>
        <v>7</v>
      </c>
      <c r="DD57" s="175" t="str">
        <f t="shared" si="150"/>
        <v/>
      </c>
      <c r="DE57" s="156" t="str">
        <f t="shared" si="151"/>
        <v/>
      </c>
      <c r="DF57" s="181" t="str">
        <f t="shared" si="171"/>
        <v/>
      </c>
      <c r="DG57" s="177" t="str">
        <f t="shared" si="152"/>
        <v/>
      </c>
      <c r="DH57" s="175" t="str">
        <f t="shared" si="153"/>
        <v/>
      </c>
      <c r="DI57" s="156" t="str">
        <f t="shared" si="154"/>
        <v/>
      </c>
      <c r="DJ57" s="176" t="str">
        <f t="shared" si="155"/>
        <v/>
      </c>
      <c r="DK57" s="156" t="str">
        <f t="shared" si="156"/>
        <v/>
      </c>
      <c r="DL57" s="175" t="str">
        <f t="shared" si="157"/>
        <v/>
      </c>
      <c r="DM57" s="156" t="str">
        <f t="shared" si="158"/>
        <v/>
      </c>
      <c r="DN57" s="176" t="str">
        <f t="shared" si="159"/>
        <v/>
      </c>
      <c r="DO57" s="156" t="str">
        <f t="shared" si="160"/>
        <v/>
      </c>
      <c r="DP57" s="175" t="str">
        <f t="shared" si="161"/>
        <v/>
      </c>
      <c r="DQ57" s="156" t="str">
        <f t="shared" si="162"/>
        <v/>
      </c>
      <c r="DR57" s="156" t="str">
        <f t="shared" si="163"/>
        <v/>
      </c>
      <c r="DS57" s="156" t="str">
        <f t="shared" si="164"/>
        <v/>
      </c>
      <c r="DT57" s="175" t="str">
        <f t="shared" si="165"/>
        <v/>
      </c>
      <c r="DU57" s="156" t="str">
        <f t="shared" si="166"/>
        <v/>
      </c>
      <c r="DV57" s="156" t="str">
        <f t="shared" si="167"/>
        <v/>
      </c>
      <c r="DW57" s="156" t="str">
        <f t="shared" si="168"/>
        <v/>
      </c>
    </row>
    <row r="58" spans="1:128" ht="12.75" customHeight="1" x14ac:dyDescent="0.15">
      <c r="B58" s="201">
        <f t="shared" si="172"/>
        <v>8</v>
      </c>
      <c r="C58" s="68"/>
      <c r="D58" s="60"/>
      <c r="E58" s="61"/>
      <c r="F58" s="289"/>
      <c r="G58" s="289"/>
      <c r="H58" s="62"/>
      <c r="I58" s="62"/>
      <c r="J58" s="62"/>
      <c r="K58" s="62"/>
      <c r="L58" s="202"/>
      <c r="M58" s="93"/>
      <c r="N58" s="94"/>
      <c r="O58" s="93"/>
      <c r="P58" s="95"/>
      <c r="Q58" s="206"/>
      <c r="R58" s="206"/>
      <c r="S58" s="280" t="str">
        <f t="shared" si="169"/>
        <v/>
      </c>
      <c r="T58" s="278" t="str">
        <f>IF(D58="","",IF($N$12="X","",+'QA thin lift'!I35))</f>
        <v/>
      </c>
      <c r="U58" s="219"/>
      <c r="V58" s="63" t="str">
        <f t="shared" si="99"/>
        <v/>
      </c>
      <c r="W58" s="64" t="str">
        <f t="shared" si="100"/>
        <v/>
      </c>
      <c r="X58" s="288" t="str">
        <f t="shared" si="101"/>
        <v/>
      </c>
      <c r="Y58" s="284" t="str">
        <f t="shared" si="102"/>
        <v/>
      </c>
      <c r="Z58" s="286" t="str">
        <f t="shared" si="103"/>
        <v/>
      </c>
      <c r="AA58" s="53"/>
      <c r="AB58" s="105"/>
      <c r="AC58" s="105"/>
      <c r="AD58" s="41"/>
      <c r="AE58" s="41"/>
      <c r="AF58" s="96" t="str">
        <f t="shared" si="104"/>
        <v/>
      </c>
      <c r="AG58" s="96" t="str">
        <f t="shared" si="105"/>
        <v/>
      </c>
      <c r="AH58" s="96" t="str">
        <f t="shared" si="106"/>
        <v/>
      </c>
      <c r="AI58" s="96"/>
      <c r="AJ58" s="168"/>
      <c r="AK58" s="192">
        <f t="shared" si="170"/>
        <v>8</v>
      </c>
      <c r="AL58" s="174" t="str">
        <f t="shared" si="107"/>
        <v/>
      </c>
      <c r="AM58" s="155">
        <f t="shared" si="108"/>
        <v>8</v>
      </c>
      <c r="AN58" s="175" t="str">
        <f t="shared" si="109"/>
        <v/>
      </c>
      <c r="AO58" s="156" t="str">
        <f t="shared" si="110"/>
        <v/>
      </c>
      <c r="AP58" s="176" t="str">
        <f t="shared" si="111"/>
        <v/>
      </c>
      <c r="AQ58" s="176"/>
      <c r="AR58" s="177" t="str">
        <f>+IF(AND(AN58=1,L58=4),+O58,"")</f>
        <v/>
      </c>
      <c r="AS58" s="156"/>
      <c r="AT58" s="156"/>
      <c r="AU58" s="175" t="str">
        <f t="shared" si="112"/>
        <v/>
      </c>
      <c r="AV58" s="156" t="str">
        <f t="shared" si="113"/>
        <v/>
      </c>
      <c r="AW58" s="176" t="str">
        <f t="shared" si="114"/>
        <v/>
      </c>
      <c r="AX58" s="176"/>
      <c r="AY58" s="156" t="str">
        <f t="shared" si="115"/>
        <v/>
      </c>
      <c r="AZ58" s="156"/>
      <c r="BA58" s="156"/>
      <c r="BB58" s="175" t="str">
        <f t="shared" si="116"/>
        <v/>
      </c>
      <c r="BC58" s="156" t="str">
        <f t="shared" si="117"/>
        <v/>
      </c>
      <c r="BD58" s="176" t="str">
        <f t="shared" si="118"/>
        <v/>
      </c>
      <c r="BE58" s="176"/>
      <c r="BF58" s="156" t="str">
        <f t="shared" si="119"/>
        <v/>
      </c>
      <c r="BG58" s="156"/>
      <c r="BH58" s="156"/>
      <c r="BI58" s="175" t="str">
        <f t="shared" si="120"/>
        <v/>
      </c>
      <c r="BJ58" s="156" t="str">
        <f t="shared" si="121"/>
        <v/>
      </c>
      <c r="BK58" s="156" t="str">
        <f t="shared" si="122"/>
        <v/>
      </c>
      <c r="BL58" s="156" t="str">
        <f t="shared" si="123"/>
        <v/>
      </c>
      <c r="BM58" s="175" t="str">
        <f t="shared" si="124"/>
        <v/>
      </c>
      <c r="BN58" s="156" t="str">
        <f t="shared" si="125"/>
        <v/>
      </c>
      <c r="BO58" s="156" t="str">
        <f t="shared" si="126"/>
        <v/>
      </c>
      <c r="BP58" s="156" t="str">
        <f t="shared" si="127"/>
        <v/>
      </c>
      <c r="BQ58" s="155"/>
      <c r="BR58" s="155"/>
      <c r="BS58" s="155"/>
      <c r="BT58" s="174" t="str">
        <f t="shared" si="128"/>
        <v/>
      </c>
      <c r="BU58" s="155">
        <v>8</v>
      </c>
      <c r="BV58" s="175" t="str">
        <f t="shared" si="129"/>
        <v/>
      </c>
      <c r="BW58" s="156" t="str">
        <f t="shared" si="130"/>
        <v/>
      </c>
      <c r="BX58" s="181" t="str">
        <f t="shared" si="131"/>
        <v/>
      </c>
      <c r="BY58" s="176"/>
      <c r="BZ58" s="156"/>
      <c r="CA58" s="156"/>
      <c r="CB58" s="177" t="str">
        <f t="shared" si="132"/>
        <v/>
      </c>
      <c r="CC58" s="175" t="str">
        <f t="shared" si="133"/>
        <v/>
      </c>
      <c r="CD58" s="156" t="str">
        <f t="shared" si="134"/>
        <v/>
      </c>
      <c r="CE58" s="176" t="str">
        <f t="shared" si="135"/>
        <v/>
      </c>
      <c r="CF58" s="176"/>
      <c r="CG58" s="156" t="str">
        <f t="shared" si="136"/>
        <v/>
      </c>
      <c r="CH58" s="156"/>
      <c r="CI58" s="156"/>
      <c r="CJ58" s="175" t="str">
        <f t="shared" si="137"/>
        <v/>
      </c>
      <c r="CK58" s="156" t="str">
        <f t="shared" si="138"/>
        <v/>
      </c>
      <c r="CL58" s="176" t="str">
        <f t="shared" si="139"/>
        <v/>
      </c>
      <c r="CM58" s="176"/>
      <c r="CN58" s="156" t="str">
        <f t="shared" si="140"/>
        <v/>
      </c>
      <c r="CO58" s="156"/>
      <c r="CP58" s="156"/>
      <c r="CQ58" s="175" t="str">
        <f t="shared" si="141"/>
        <v/>
      </c>
      <c r="CR58" s="156" t="str">
        <f t="shared" si="142"/>
        <v/>
      </c>
      <c r="CS58" s="156" t="str">
        <f t="shared" si="143"/>
        <v/>
      </c>
      <c r="CT58" s="156" t="str">
        <f t="shared" si="144"/>
        <v/>
      </c>
      <c r="CU58" s="175" t="str">
        <f t="shared" si="145"/>
        <v/>
      </c>
      <c r="CV58" s="156" t="str">
        <f t="shared" si="146"/>
        <v/>
      </c>
      <c r="CW58" s="156" t="str">
        <f t="shared" si="147"/>
        <v/>
      </c>
      <c r="CX58" s="156" t="str">
        <f t="shared" si="148"/>
        <v/>
      </c>
      <c r="CY58" s="156"/>
      <c r="CZ58" s="155"/>
      <c r="DA58" s="155"/>
      <c r="DB58" s="174" t="str">
        <f t="shared" si="149"/>
        <v/>
      </c>
      <c r="DC58" s="155">
        <f t="shared" si="173"/>
        <v>8</v>
      </c>
      <c r="DD58" s="175" t="str">
        <f t="shared" si="150"/>
        <v/>
      </c>
      <c r="DE58" s="156" t="str">
        <f t="shared" si="151"/>
        <v/>
      </c>
      <c r="DF58" s="181" t="str">
        <f t="shared" si="171"/>
        <v/>
      </c>
      <c r="DG58" s="177" t="str">
        <f t="shared" si="152"/>
        <v/>
      </c>
      <c r="DH58" s="175" t="str">
        <f t="shared" si="153"/>
        <v/>
      </c>
      <c r="DI58" s="156" t="str">
        <f t="shared" si="154"/>
        <v/>
      </c>
      <c r="DJ58" s="176" t="str">
        <f t="shared" si="155"/>
        <v/>
      </c>
      <c r="DK58" s="156" t="str">
        <f t="shared" si="156"/>
        <v/>
      </c>
      <c r="DL58" s="175" t="str">
        <f t="shared" si="157"/>
        <v/>
      </c>
      <c r="DM58" s="156" t="str">
        <f t="shared" si="158"/>
        <v/>
      </c>
      <c r="DN58" s="176" t="str">
        <f t="shared" si="159"/>
        <v/>
      </c>
      <c r="DO58" s="156" t="str">
        <f t="shared" si="160"/>
        <v/>
      </c>
      <c r="DP58" s="175" t="str">
        <f t="shared" si="161"/>
        <v/>
      </c>
      <c r="DQ58" s="156" t="str">
        <f t="shared" si="162"/>
        <v/>
      </c>
      <c r="DR58" s="156" t="str">
        <f t="shared" si="163"/>
        <v/>
      </c>
      <c r="DS58" s="156" t="str">
        <f t="shared" si="164"/>
        <v/>
      </c>
      <c r="DT58" s="175" t="str">
        <f t="shared" si="165"/>
        <v/>
      </c>
      <c r="DU58" s="156" t="str">
        <f t="shared" si="166"/>
        <v/>
      </c>
      <c r="DV58" s="156" t="str">
        <f t="shared" si="167"/>
        <v/>
      </c>
      <c r="DW58" s="156" t="str">
        <f t="shared" si="168"/>
        <v/>
      </c>
    </row>
    <row r="59" spans="1:128" ht="12.75" customHeight="1" x14ac:dyDescent="0.15">
      <c r="B59" s="201">
        <f t="shared" si="172"/>
        <v>9</v>
      </c>
      <c r="C59" s="68"/>
      <c r="D59" s="60"/>
      <c r="E59" s="61"/>
      <c r="F59" s="289"/>
      <c r="G59" s="289"/>
      <c r="H59" s="62"/>
      <c r="I59" s="67"/>
      <c r="J59" s="62"/>
      <c r="K59" s="62"/>
      <c r="L59" s="202"/>
      <c r="M59" s="93"/>
      <c r="N59" s="94"/>
      <c r="O59" s="93"/>
      <c r="P59" s="95"/>
      <c r="Q59" s="206"/>
      <c r="R59" s="206"/>
      <c r="S59" s="280" t="str">
        <f t="shared" si="169"/>
        <v/>
      </c>
      <c r="T59" s="278" t="str">
        <f>IF(D59="","",IF($N$12="X","",+'QA thin lift'!I36))</f>
        <v/>
      </c>
      <c r="U59" s="219"/>
      <c r="V59" s="63" t="str">
        <f t="shared" si="99"/>
        <v/>
      </c>
      <c r="W59" s="64" t="str">
        <f t="shared" si="100"/>
        <v/>
      </c>
      <c r="X59" s="288" t="str">
        <f t="shared" si="101"/>
        <v/>
      </c>
      <c r="Y59" s="284" t="str">
        <f t="shared" si="102"/>
        <v/>
      </c>
      <c r="Z59" s="286" t="str">
        <f t="shared" si="103"/>
        <v/>
      </c>
      <c r="AA59" s="53"/>
      <c r="AB59" s="105"/>
      <c r="AC59" s="105"/>
      <c r="AD59" s="41"/>
      <c r="AE59" s="41"/>
      <c r="AF59" s="96" t="str">
        <f t="shared" si="104"/>
        <v/>
      </c>
      <c r="AG59" s="96" t="str">
        <f t="shared" si="105"/>
        <v/>
      </c>
      <c r="AH59" s="96" t="str">
        <f t="shared" si="106"/>
        <v/>
      </c>
      <c r="AI59" s="96" t="str">
        <f>+IF(H59=1,X59,"")</f>
        <v/>
      </c>
      <c r="AJ59" s="168"/>
      <c r="AK59" s="192">
        <f t="shared" si="170"/>
        <v>9</v>
      </c>
      <c r="AL59" s="174" t="str">
        <f t="shared" si="107"/>
        <v/>
      </c>
      <c r="AM59" s="155">
        <f t="shared" si="108"/>
        <v>9</v>
      </c>
      <c r="AN59" s="175" t="str">
        <f t="shared" si="109"/>
        <v/>
      </c>
      <c r="AO59" s="156" t="str">
        <f t="shared" si="110"/>
        <v/>
      </c>
      <c r="AP59" s="176" t="str">
        <f t="shared" si="111"/>
        <v/>
      </c>
      <c r="AQ59" s="176"/>
      <c r="AR59" s="177" t="str">
        <f>+IF(AND(AN59=1,L59=4),+O59,"")</f>
        <v/>
      </c>
      <c r="AS59" s="156"/>
      <c r="AT59" s="156"/>
      <c r="AU59" s="175" t="str">
        <f t="shared" si="112"/>
        <v/>
      </c>
      <c r="AV59" s="156" t="str">
        <f t="shared" si="113"/>
        <v/>
      </c>
      <c r="AW59" s="176" t="str">
        <f t="shared" si="114"/>
        <v/>
      </c>
      <c r="AX59" s="176"/>
      <c r="AY59" s="156" t="str">
        <f t="shared" si="115"/>
        <v/>
      </c>
      <c r="AZ59" s="156"/>
      <c r="BA59" s="156"/>
      <c r="BB59" s="175" t="str">
        <f t="shared" si="116"/>
        <v/>
      </c>
      <c r="BC59" s="156" t="str">
        <f t="shared" si="117"/>
        <v/>
      </c>
      <c r="BD59" s="176" t="str">
        <f t="shared" si="118"/>
        <v/>
      </c>
      <c r="BE59" s="176"/>
      <c r="BF59" s="156" t="str">
        <f t="shared" si="119"/>
        <v/>
      </c>
      <c r="BG59" s="156"/>
      <c r="BH59" s="156"/>
      <c r="BI59" s="175" t="str">
        <f t="shared" si="120"/>
        <v/>
      </c>
      <c r="BJ59" s="156" t="str">
        <f t="shared" si="121"/>
        <v/>
      </c>
      <c r="BK59" s="156" t="str">
        <f t="shared" si="122"/>
        <v/>
      </c>
      <c r="BL59" s="156" t="str">
        <f t="shared" si="123"/>
        <v/>
      </c>
      <c r="BM59" s="175" t="str">
        <f t="shared" si="124"/>
        <v/>
      </c>
      <c r="BN59" s="156" t="str">
        <f t="shared" si="125"/>
        <v/>
      </c>
      <c r="BO59" s="156" t="str">
        <f t="shared" si="126"/>
        <v/>
      </c>
      <c r="BP59" s="156" t="str">
        <f t="shared" si="127"/>
        <v/>
      </c>
      <c r="BQ59" s="155"/>
      <c r="BR59" s="155"/>
      <c r="BS59" s="155"/>
      <c r="BT59" s="174" t="str">
        <f t="shared" si="128"/>
        <v/>
      </c>
      <c r="BU59" s="155">
        <v>9</v>
      </c>
      <c r="BV59" s="175" t="str">
        <f t="shared" si="129"/>
        <v/>
      </c>
      <c r="BW59" s="156" t="str">
        <f t="shared" si="130"/>
        <v/>
      </c>
      <c r="BX59" s="181" t="str">
        <f t="shared" si="131"/>
        <v/>
      </c>
      <c r="BY59" s="176"/>
      <c r="BZ59" s="156"/>
      <c r="CA59" s="156"/>
      <c r="CB59" s="177" t="str">
        <f t="shared" si="132"/>
        <v/>
      </c>
      <c r="CC59" s="175" t="str">
        <f t="shared" si="133"/>
        <v/>
      </c>
      <c r="CD59" s="156" t="str">
        <f t="shared" si="134"/>
        <v/>
      </c>
      <c r="CE59" s="176" t="str">
        <f t="shared" si="135"/>
        <v/>
      </c>
      <c r="CF59" s="176"/>
      <c r="CG59" s="156" t="str">
        <f t="shared" si="136"/>
        <v/>
      </c>
      <c r="CH59" s="156"/>
      <c r="CI59" s="156"/>
      <c r="CJ59" s="175" t="str">
        <f t="shared" si="137"/>
        <v/>
      </c>
      <c r="CK59" s="156" t="str">
        <f t="shared" si="138"/>
        <v/>
      </c>
      <c r="CL59" s="176" t="str">
        <f t="shared" si="139"/>
        <v/>
      </c>
      <c r="CM59" s="176"/>
      <c r="CN59" s="156" t="str">
        <f t="shared" si="140"/>
        <v/>
      </c>
      <c r="CO59" s="156"/>
      <c r="CP59" s="156"/>
      <c r="CQ59" s="175" t="str">
        <f t="shared" si="141"/>
        <v/>
      </c>
      <c r="CR59" s="156" t="str">
        <f t="shared" si="142"/>
        <v/>
      </c>
      <c r="CS59" s="156" t="str">
        <f t="shared" si="143"/>
        <v/>
      </c>
      <c r="CT59" s="156" t="str">
        <f t="shared" si="144"/>
        <v/>
      </c>
      <c r="CU59" s="175" t="str">
        <f t="shared" si="145"/>
        <v/>
      </c>
      <c r="CV59" s="156" t="str">
        <f t="shared" si="146"/>
        <v/>
      </c>
      <c r="CW59" s="156" t="str">
        <f t="shared" si="147"/>
        <v/>
      </c>
      <c r="CX59" s="156" t="str">
        <f t="shared" si="148"/>
        <v/>
      </c>
      <c r="CY59" s="156"/>
      <c r="CZ59" s="155"/>
      <c r="DA59" s="155"/>
      <c r="DB59" s="174" t="str">
        <f t="shared" si="149"/>
        <v/>
      </c>
      <c r="DC59" s="155">
        <f t="shared" si="173"/>
        <v>9</v>
      </c>
      <c r="DD59" s="175" t="str">
        <f t="shared" si="150"/>
        <v/>
      </c>
      <c r="DE59" s="156" t="str">
        <f t="shared" si="151"/>
        <v/>
      </c>
      <c r="DF59" s="181" t="str">
        <f t="shared" si="171"/>
        <v/>
      </c>
      <c r="DG59" s="177" t="str">
        <f t="shared" si="152"/>
        <v/>
      </c>
      <c r="DH59" s="175" t="str">
        <f t="shared" si="153"/>
        <v/>
      </c>
      <c r="DI59" s="156" t="str">
        <f t="shared" si="154"/>
        <v/>
      </c>
      <c r="DJ59" s="176" t="str">
        <f t="shared" si="155"/>
        <v/>
      </c>
      <c r="DK59" s="156" t="str">
        <f t="shared" si="156"/>
        <v/>
      </c>
      <c r="DL59" s="175" t="str">
        <f t="shared" si="157"/>
        <v/>
      </c>
      <c r="DM59" s="156" t="str">
        <f t="shared" si="158"/>
        <v/>
      </c>
      <c r="DN59" s="176" t="str">
        <f t="shared" si="159"/>
        <v/>
      </c>
      <c r="DO59" s="156" t="str">
        <f t="shared" si="160"/>
        <v/>
      </c>
      <c r="DP59" s="175" t="str">
        <f t="shared" si="161"/>
        <v/>
      </c>
      <c r="DQ59" s="156" t="str">
        <f t="shared" si="162"/>
        <v/>
      </c>
      <c r="DR59" s="156" t="str">
        <f t="shared" si="163"/>
        <v/>
      </c>
      <c r="DS59" s="156" t="str">
        <f t="shared" si="164"/>
        <v/>
      </c>
      <c r="DT59" s="175" t="str">
        <f t="shared" si="165"/>
        <v/>
      </c>
      <c r="DU59" s="156" t="str">
        <f t="shared" si="166"/>
        <v/>
      </c>
      <c r="DV59" s="156" t="str">
        <f t="shared" si="167"/>
        <v/>
      </c>
      <c r="DW59" s="156" t="str">
        <f t="shared" si="168"/>
        <v/>
      </c>
    </row>
    <row r="60" spans="1:128" s="87" customFormat="1" ht="12.75" customHeight="1" thickBot="1" x14ac:dyDescent="0.2">
      <c r="A60" s="53"/>
      <c r="B60" s="201">
        <f t="shared" si="172"/>
        <v>10</v>
      </c>
      <c r="C60" s="152"/>
      <c r="D60" s="60"/>
      <c r="E60" s="61"/>
      <c r="F60" s="289"/>
      <c r="G60" s="289"/>
      <c r="H60" s="62"/>
      <c r="I60" s="153"/>
      <c r="J60" s="62"/>
      <c r="K60" s="62"/>
      <c r="L60" s="202"/>
      <c r="M60" s="93"/>
      <c r="N60" s="94"/>
      <c r="O60" s="93"/>
      <c r="P60" s="154"/>
      <c r="Q60" s="206"/>
      <c r="R60" s="206"/>
      <c r="S60" s="280" t="str">
        <f t="shared" si="169"/>
        <v/>
      </c>
      <c r="T60" s="278" t="str">
        <f>IF(D60="","",IF($N$12="X","",+'QA thin lift'!I37))</f>
        <v/>
      </c>
      <c r="U60" s="219"/>
      <c r="V60" s="63" t="str">
        <f t="shared" si="99"/>
        <v/>
      </c>
      <c r="W60" s="64" t="str">
        <f t="shared" si="100"/>
        <v/>
      </c>
      <c r="X60" s="288" t="str">
        <f t="shared" si="101"/>
        <v/>
      </c>
      <c r="Y60" s="284" t="str">
        <f t="shared" si="102"/>
        <v/>
      </c>
      <c r="Z60" s="286" t="str">
        <f t="shared" si="103"/>
        <v/>
      </c>
      <c r="AA60" s="41"/>
      <c r="AB60" s="105"/>
      <c r="AC60" s="105"/>
      <c r="AD60" s="41"/>
      <c r="AE60" s="41"/>
      <c r="AF60" s="96" t="str">
        <f t="shared" si="104"/>
        <v/>
      </c>
      <c r="AG60" s="96" t="str">
        <f t="shared" si="105"/>
        <v/>
      </c>
      <c r="AH60" s="96" t="str">
        <f t="shared" si="106"/>
        <v/>
      </c>
      <c r="AI60" s="96" t="str">
        <f>+IF(H60=1,X60,"")</f>
        <v/>
      </c>
      <c r="AJ60" s="168"/>
      <c r="AK60" s="193">
        <f t="shared" si="170"/>
        <v>10</v>
      </c>
      <c r="AL60" s="184" t="str">
        <f t="shared" si="107"/>
        <v/>
      </c>
      <c r="AM60" s="185">
        <f t="shared" si="108"/>
        <v>10</v>
      </c>
      <c r="AN60" s="186" t="str">
        <f t="shared" si="109"/>
        <v/>
      </c>
      <c r="AO60" s="160" t="str">
        <f t="shared" si="110"/>
        <v/>
      </c>
      <c r="AP60" s="187" t="str">
        <f t="shared" si="111"/>
        <v/>
      </c>
      <c r="AQ60" s="187"/>
      <c r="AR60" s="188" t="str">
        <f>+IF(AND(AN60=1,L60=4),+O60,"")</f>
        <v/>
      </c>
      <c r="AS60" s="160"/>
      <c r="AT60" s="160"/>
      <c r="AU60" s="186" t="str">
        <f t="shared" si="112"/>
        <v/>
      </c>
      <c r="AV60" s="160" t="str">
        <f t="shared" si="113"/>
        <v/>
      </c>
      <c r="AW60" s="187" t="str">
        <f t="shared" si="114"/>
        <v/>
      </c>
      <c r="AX60" s="187"/>
      <c r="AY60" s="160" t="str">
        <f t="shared" si="115"/>
        <v/>
      </c>
      <c r="AZ60" s="160"/>
      <c r="BA60" s="160"/>
      <c r="BB60" s="186" t="str">
        <f t="shared" si="116"/>
        <v/>
      </c>
      <c r="BC60" s="160" t="str">
        <f t="shared" si="117"/>
        <v/>
      </c>
      <c r="BD60" s="187" t="str">
        <f t="shared" si="118"/>
        <v/>
      </c>
      <c r="BE60" s="187"/>
      <c r="BF60" s="160" t="str">
        <f t="shared" si="119"/>
        <v/>
      </c>
      <c r="BG60" s="160"/>
      <c r="BH60" s="160"/>
      <c r="BI60" s="186" t="str">
        <f t="shared" si="120"/>
        <v/>
      </c>
      <c r="BJ60" s="160" t="str">
        <f t="shared" si="121"/>
        <v/>
      </c>
      <c r="BK60" s="160" t="str">
        <f t="shared" si="122"/>
        <v/>
      </c>
      <c r="BL60" s="160" t="str">
        <f t="shared" si="123"/>
        <v/>
      </c>
      <c r="BM60" s="186" t="str">
        <f t="shared" si="124"/>
        <v/>
      </c>
      <c r="BN60" s="160" t="str">
        <f t="shared" si="125"/>
        <v/>
      </c>
      <c r="BO60" s="160" t="str">
        <f t="shared" si="126"/>
        <v/>
      </c>
      <c r="BP60" s="160" t="str">
        <f t="shared" si="127"/>
        <v/>
      </c>
      <c r="BQ60" s="185"/>
      <c r="BR60" s="185"/>
      <c r="BS60" s="185"/>
      <c r="BT60" s="184" t="str">
        <f t="shared" si="128"/>
        <v/>
      </c>
      <c r="BU60" s="185">
        <v>10</v>
      </c>
      <c r="BV60" s="186" t="str">
        <f t="shared" si="129"/>
        <v/>
      </c>
      <c r="BW60" s="160" t="str">
        <f t="shared" si="130"/>
        <v/>
      </c>
      <c r="BX60" s="191" t="str">
        <f t="shared" si="131"/>
        <v/>
      </c>
      <c r="BY60" s="187"/>
      <c r="BZ60" s="160"/>
      <c r="CA60" s="160"/>
      <c r="CB60" s="188" t="str">
        <f t="shared" si="132"/>
        <v/>
      </c>
      <c r="CC60" s="186" t="str">
        <f t="shared" si="133"/>
        <v/>
      </c>
      <c r="CD60" s="160" t="str">
        <f t="shared" si="134"/>
        <v/>
      </c>
      <c r="CE60" s="187" t="str">
        <f t="shared" si="135"/>
        <v/>
      </c>
      <c r="CF60" s="187"/>
      <c r="CG60" s="160" t="str">
        <f t="shared" si="136"/>
        <v/>
      </c>
      <c r="CH60" s="160"/>
      <c r="CI60" s="160"/>
      <c r="CJ60" s="186" t="str">
        <f t="shared" si="137"/>
        <v/>
      </c>
      <c r="CK60" s="160" t="str">
        <f t="shared" si="138"/>
        <v/>
      </c>
      <c r="CL60" s="187" t="str">
        <f t="shared" si="139"/>
        <v/>
      </c>
      <c r="CM60" s="187"/>
      <c r="CN60" s="160" t="str">
        <f t="shared" si="140"/>
        <v/>
      </c>
      <c r="CO60" s="160"/>
      <c r="CP60" s="160"/>
      <c r="CQ60" s="186" t="str">
        <f t="shared" si="141"/>
        <v/>
      </c>
      <c r="CR60" s="160" t="str">
        <f t="shared" si="142"/>
        <v/>
      </c>
      <c r="CS60" s="160" t="str">
        <f t="shared" si="143"/>
        <v/>
      </c>
      <c r="CT60" s="160" t="str">
        <f t="shared" si="144"/>
        <v/>
      </c>
      <c r="CU60" s="186" t="str">
        <f t="shared" si="145"/>
        <v/>
      </c>
      <c r="CV60" s="160" t="str">
        <f t="shared" si="146"/>
        <v/>
      </c>
      <c r="CW60" s="160" t="str">
        <f t="shared" si="147"/>
        <v/>
      </c>
      <c r="CX60" s="160" t="str">
        <f t="shared" si="148"/>
        <v/>
      </c>
      <c r="CY60" s="160"/>
      <c r="CZ60" s="185"/>
      <c r="DA60" s="185"/>
      <c r="DB60" s="184" t="str">
        <f t="shared" si="149"/>
        <v/>
      </c>
      <c r="DC60" s="185">
        <f t="shared" si="173"/>
        <v>10</v>
      </c>
      <c r="DD60" s="186" t="str">
        <f t="shared" si="150"/>
        <v/>
      </c>
      <c r="DE60" s="160" t="str">
        <f t="shared" si="151"/>
        <v/>
      </c>
      <c r="DF60" s="191" t="str">
        <f t="shared" si="171"/>
        <v/>
      </c>
      <c r="DG60" s="188" t="str">
        <f t="shared" si="152"/>
        <v/>
      </c>
      <c r="DH60" s="186" t="str">
        <f t="shared" si="153"/>
        <v/>
      </c>
      <c r="DI60" s="160" t="str">
        <f t="shared" si="154"/>
        <v/>
      </c>
      <c r="DJ60" s="187" t="str">
        <f t="shared" si="155"/>
        <v/>
      </c>
      <c r="DK60" s="160" t="str">
        <f t="shared" si="156"/>
        <v/>
      </c>
      <c r="DL60" s="186" t="str">
        <f t="shared" si="157"/>
        <v/>
      </c>
      <c r="DM60" s="160" t="str">
        <f t="shared" si="158"/>
        <v/>
      </c>
      <c r="DN60" s="187" t="str">
        <f t="shared" si="159"/>
        <v/>
      </c>
      <c r="DO60" s="160" t="str">
        <f t="shared" si="160"/>
        <v/>
      </c>
      <c r="DP60" s="186" t="str">
        <f t="shared" si="161"/>
        <v/>
      </c>
      <c r="DQ60" s="160" t="str">
        <f t="shared" si="162"/>
        <v/>
      </c>
      <c r="DR60" s="160" t="str">
        <f t="shared" si="163"/>
        <v/>
      </c>
      <c r="DS60" s="160" t="str">
        <f t="shared" si="164"/>
        <v/>
      </c>
      <c r="DT60" s="186" t="str">
        <f t="shared" si="165"/>
        <v/>
      </c>
      <c r="DU60" s="160" t="str">
        <f t="shared" si="166"/>
        <v/>
      </c>
      <c r="DV60" s="160" t="str">
        <f t="shared" si="167"/>
        <v/>
      </c>
      <c r="DW60" s="160" t="str">
        <f t="shared" si="168"/>
        <v/>
      </c>
      <c r="DX60" s="81"/>
    </row>
    <row r="61" spans="1:128" ht="12.75" customHeight="1" thickBot="1" x14ac:dyDescent="0.2">
      <c r="B61" s="373" t="s">
        <v>4</v>
      </c>
      <c r="C61" s="372"/>
      <c r="D61" s="372"/>
      <c r="E61" s="372" t="s">
        <v>7</v>
      </c>
      <c r="F61" s="372"/>
      <c r="G61" s="372"/>
      <c r="H61" s="372" t="s">
        <v>5</v>
      </c>
      <c r="I61" s="372"/>
      <c r="J61" s="372"/>
      <c r="K61" s="372" t="s">
        <v>8</v>
      </c>
      <c r="L61" s="372"/>
      <c r="M61" s="372"/>
      <c r="N61" s="372" t="s">
        <v>6</v>
      </c>
      <c r="O61" s="372"/>
      <c r="P61" s="372"/>
      <c r="Q61" s="382" t="s">
        <v>133</v>
      </c>
      <c r="R61" s="382"/>
      <c r="S61" s="383"/>
      <c r="T61" s="381" t="s">
        <v>75</v>
      </c>
      <c r="U61" s="305"/>
      <c r="V61" s="305"/>
      <c r="W61" s="305"/>
      <c r="X61" s="379" t="s">
        <v>146</v>
      </c>
      <c r="Y61" s="379"/>
      <c r="Z61" s="380"/>
      <c r="AA61" s="41"/>
      <c r="AB61" s="41"/>
      <c r="AC61" s="41"/>
      <c r="AD61" s="41"/>
      <c r="AE61" s="41" t="s">
        <v>17</v>
      </c>
      <c r="AF61" s="99">
        <f>+COUNT(AF51:AF60)</f>
        <v>0</v>
      </c>
      <c r="AG61" s="99">
        <f>+COUNT(AG51:AG60)</f>
        <v>0</v>
      </c>
      <c r="AH61" s="99">
        <f>+COUNT(AH51:AH60)</f>
        <v>0</v>
      </c>
      <c r="AI61" s="107"/>
      <c r="AJ61" s="107"/>
      <c r="AK61" s="199"/>
      <c r="AL61" s="200"/>
      <c r="AM61" s="41"/>
      <c r="AN61" s="41"/>
      <c r="AO61" s="41"/>
      <c r="AP61" s="101" t="str">
        <f>+IF(COUNT(AP51:AP60)&lt;3,"N/A",IF(SUM(AP51:AP60)="","",RSQ(AP51:AP60,AR51:AR60)))</f>
        <v>N/A</v>
      </c>
      <c r="AQ61" s="217"/>
      <c r="AR61" s="114"/>
      <c r="AS61" s="207"/>
      <c r="AT61" s="207"/>
      <c r="AU61" s="114"/>
      <c r="AV61" s="115"/>
      <c r="AW61" s="101" t="str">
        <f>+IF(COUNT(AW51:AW60)&lt;3,"N/A",IF(SUM(AW51:AW60)="","",RSQ(AW51:AW60,AY51:AY60)))</f>
        <v>N/A</v>
      </c>
      <c r="AX61" s="217"/>
      <c r="AY61" s="115"/>
      <c r="AZ61" s="207"/>
      <c r="BA61" s="207"/>
      <c r="BB61" s="115"/>
      <c r="BC61" s="115"/>
      <c r="BD61" s="101" t="str">
        <f>+IF(COUNT(BD51:BD60)&lt;3,"N/A",IF(SUM(BD51:BD60)="","",RSQ(BD51:BD60,BF51:BF60)))</f>
        <v>N/A</v>
      </c>
      <c r="BE61" s="217"/>
      <c r="BF61" s="115"/>
      <c r="BG61" s="207"/>
      <c r="BH61" s="207"/>
      <c r="BI61" s="115"/>
      <c r="BJ61" s="115"/>
      <c r="BK61" s="101" t="str">
        <f>+IF(COUNT(BK51:BK60)&lt;3,"N/A",IF(SUM(BK51:BK60)="","",RSQ(BK51:BK60,BL51:BL60)))</f>
        <v>N/A</v>
      </c>
      <c r="BL61" s="115"/>
      <c r="BM61" s="115"/>
      <c r="BN61" s="115"/>
      <c r="BO61" s="101" t="str">
        <f>+IF(COUNT(BO51:BO60)&lt;3,"N/A",IF(SUM(BO51:BO60)="","",RSQ(BO51:BO60,BP51:BP60)))</f>
        <v>N/A</v>
      </c>
      <c r="BS61" s="92"/>
      <c r="BT61" s="166"/>
      <c r="BU61" s="41"/>
      <c r="BV61" s="41"/>
      <c r="BW61" s="41"/>
      <c r="BX61" s="101" t="str">
        <f>+IF(COUNT(BX51:BX59)&lt;3,"N/A",IF(SUM(BX51:BX59)="","",RSQ(BX51:BX59,CB51:CB59)))</f>
        <v>N/A</v>
      </c>
      <c r="BY61" s="217"/>
      <c r="BZ61" s="207"/>
      <c r="CA61" s="207"/>
      <c r="CB61" s="114"/>
      <c r="CC61" s="114"/>
      <c r="CD61" s="115"/>
      <c r="CE61" s="101" t="str">
        <f>+IF(COUNT(CE51:CE59)&lt;3,"N/A",IF(SUM(CE51:CE59)="","",RSQ(CE51:CE59,CG51:CG59)))</f>
        <v>N/A</v>
      </c>
      <c r="CF61" s="217"/>
      <c r="CG61" s="115"/>
      <c r="CH61" s="207"/>
      <c r="CI61" s="207"/>
      <c r="CJ61" s="115"/>
      <c r="CK61" s="115"/>
      <c r="CL61" s="101" t="str">
        <f>+IF(COUNT(CL51:CL59)&lt;3,"N/A",IF(SUM(CL51:CL59)="","",RSQ(CL51:CL59,CN51:CN59)))</f>
        <v>N/A</v>
      </c>
      <c r="CM61" s="217"/>
      <c r="CN61" s="115"/>
      <c r="CO61" s="207"/>
      <c r="CP61" s="207"/>
      <c r="CQ61" s="115"/>
      <c r="CR61" s="115"/>
      <c r="CS61" s="101" t="str">
        <f>+IF(COUNT(CS51:CS59)&lt;3,"N/A",IF(SUM(CS51:CS59)="","",RSQ(CS51:CS59,CT51:CT59)))</f>
        <v>N/A</v>
      </c>
      <c r="CT61" s="115"/>
      <c r="CU61" s="115"/>
      <c r="CV61" s="115"/>
      <c r="CW61" s="101" t="str">
        <f>+IF(COUNT(CW51:CW59)&lt;3,"N/A",IF(SUM(CW51:CW59)="","",RSQ(CW51:CW59,CX51:CX59)))</f>
        <v>N/A</v>
      </c>
      <c r="DA61" s="92"/>
      <c r="DB61" s="166"/>
      <c r="DC61" s="41"/>
      <c r="DD61" s="41"/>
      <c r="DE61" s="41"/>
      <c r="DF61" s="101" t="str">
        <f>+IF(COUNT(DF51:DF60)&lt;3,"N/A",IF(SUM(DF51:DF60)="","",RSQ(DF51:DF60,DG51:DG60)))</f>
        <v>N/A</v>
      </c>
      <c r="DG61" s="114"/>
      <c r="DH61" s="114"/>
      <c r="DI61" s="115"/>
      <c r="DJ61" s="101" t="str">
        <f>+IF(COUNT(DJ51:DJ60)&lt;3,"N/A",IF(SUM(DJ51:DJ60)="","",RSQ(DJ51:DJ60,DK51:DK60)))</f>
        <v>N/A</v>
      </c>
      <c r="DK61" s="115"/>
      <c r="DL61" s="115"/>
      <c r="DM61" s="115"/>
      <c r="DN61" s="101" t="str">
        <f>+IF(COUNT(DN51:DN60)&lt;3,"N/A",IF(SUM(DN51:DN60)="","",RSQ(DN51:DN60,DO51:DO60)))</f>
        <v>N/A</v>
      </c>
      <c r="DO61" s="115"/>
      <c r="DP61" s="115"/>
      <c r="DQ61" s="115"/>
      <c r="DR61" s="101" t="str">
        <f>+IF(COUNT(DR51:DR60)&lt;3,"N/A",IF(SUM(DR51:DR60)="","",RSQ(DR51:DR60,DS51:DS60)))</f>
        <v>N/A</v>
      </c>
      <c r="DS61" s="115"/>
      <c r="DT61" s="115"/>
      <c r="DU61" s="115"/>
      <c r="DV61" s="101" t="str">
        <f>+IF(COUNT(DV51:DV60)&lt;3,"N/A",IF(SUM(DV51:DV60)="","",RSQ(DV51:DV60,DW51:DW60)))</f>
        <v>N/A</v>
      </c>
    </row>
    <row r="62" spans="1:128" ht="12.75" customHeight="1" x14ac:dyDescent="0.15">
      <c r="B62" s="376" t="s">
        <v>134</v>
      </c>
      <c r="C62" s="377"/>
      <c r="D62" s="377"/>
      <c r="E62" s="377"/>
      <c r="F62" s="377"/>
      <c r="G62" s="377"/>
      <c r="H62" s="377"/>
      <c r="I62" s="377"/>
      <c r="J62" s="377"/>
      <c r="K62" s="377"/>
      <c r="L62" s="377"/>
      <c r="M62" s="377"/>
      <c r="N62" s="377" t="s">
        <v>136</v>
      </c>
      <c r="O62" s="377"/>
      <c r="P62" s="377"/>
      <c r="Q62" s="377"/>
      <c r="R62" s="377"/>
      <c r="S62" s="377"/>
      <c r="T62" s="377"/>
      <c r="U62" s="377"/>
      <c r="V62" s="377"/>
      <c r="W62" s="377"/>
      <c r="X62" s="377"/>
      <c r="Y62" s="377"/>
      <c r="Z62" s="378"/>
      <c r="AA62" s="41"/>
      <c r="AB62" s="41"/>
      <c r="AC62" s="41"/>
      <c r="AD62" s="41"/>
      <c r="AE62" s="41"/>
      <c r="AF62" s="108"/>
      <c r="AG62" s="41"/>
      <c r="AH62" s="41"/>
      <c r="AI62" s="107"/>
      <c r="AJ62" s="107"/>
      <c r="AK62" s="41"/>
      <c r="AL62" s="43"/>
      <c r="AM62" s="41"/>
      <c r="AN62" s="41"/>
      <c r="AO62" s="41"/>
      <c r="AP62" s="116" t="s">
        <v>50</v>
      </c>
      <c r="AR62" s="116"/>
      <c r="AU62" s="116"/>
      <c r="AW62" s="116" t="s">
        <v>51</v>
      </c>
      <c r="BD62" s="81" t="s">
        <v>52</v>
      </c>
      <c r="BK62" s="81" t="s">
        <v>53</v>
      </c>
      <c r="BO62" s="81" t="s">
        <v>54</v>
      </c>
      <c r="BS62" s="97"/>
      <c r="BT62" s="125"/>
      <c r="BU62" s="41"/>
      <c r="BV62" s="41"/>
      <c r="BW62" s="41"/>
      <c r="BX62" s="116" t="s">
        <v>55</v>
      </c>
      <c r="CB62" s="116"/>
      <c r="CC62" s="116"/>
      <c r="CE62" s="116" t="s">
        <v>56</v>
      </c>
      <c r="CL62" s="81" t="s">
        <v>57</v>
      </c>
      <c r="CS62" s="81" t="s">
        <v>59</v>
      </c>
      <c r="CW62" s="81" t="s">
        <v>58</v>
      </c>
      <c r="DA62" s="97"/>
      <c r="DB62" s="125"/>
      <c r="DC62" s="41"/>
      <c r="DD62" s="41"/>
      <c r="DE62" s="41"/>
      <c r="DF62" s="116" t="s">
        <v>60</v>
      </c>
      <c r="DG62" s="116"/>
      <c r="DH62" s="116"/>
      <c r="DJ62" s="116" t="s">
        <v>61</v>
      </c>
      <c r="DN62" s="81" t="s">
        <v>62</v>
      </c>
      <c r="DR62" s="81" t="s">
        <v>63</v>
      </c>
      <c r="DV62" s="81" t="s">
        <v>64</v>
      </c>
    </row>
    <row r="63" spans="1:128" ht="12.75" customHeight="1" x14ac:dyDescent="0.15">
      <c r="B63" s="375" t="s">
        <v>135</v>
      </c>
      <c r="C63" s="374"/>
      <c r="D63" s="374"/>
      <c r="E63" s="374"/>
      <c r="F63" s="374" t="s">
        <v>107</v>
      </c>
      <c r="G63" s="374"/>
      <c r="H63" s="333"/>
      <c r="I63" s="333"/>
      <c r="J63" s="333"/>
      <c r="K63" s="273" t="s">
        <v>87</v>
      </c>
      <c r="L63" s="334"/>
      <c r="M63" s="334"/>
      <c r="N63" s="374" t="s">
        <v>67</v>
      </c>
      <c r="O63" s="374"/>
      <c r="P63" s="374"/>
      <c r="Q63" s="374"/>
      <c r="R63" s="374" t="s">
        <v>107</v>
      </c>
      <c r="S63" s="374"/>
      <c r="T63" s="333"/>
      <c r="U63" s="333"/>
      <c r="V63" s="333"/>
      <c r="W63" s="273" t="s">
        <v>87</v>
      </c>
      <c r="X63" s="334"/>
      <c r="Y63" s="334"/>
      <c r="Z63" s="384"/>
      <c r="AA63" s="41"/>
      <c r="AB63" s="41"/>
      <c r="AC63" s="41"/>
      <c r="AD63" s="41"/>
      <c r="AE63" s="41" t="s">
        <v>69</v>
      </c>
      <c r="AF63" s="108"/>
      <c r="AG63" s="108"/>
      <c r="AH63" s="108"/>
      <c r="AI63" s="109"/>
      <c r="AJ63" s="109"/>
      <c r="AK63" s="53"/>
      <c r="AL63" s="83"/>
    </row>
    <row r="64" spans="1:128" ht="12.75" customHeight="1" x14ac:dyDescent="0.15">
      <c r="B64" s="375" t="s">
        <v>22</v>
      </c>
      <c r="C64" s="374"/>
      <c r="D64" s="338" t="str">
        <f>+IF(N13="X","HMA Std 1","Soil Den std")</f>
        <v>Soil Den std</v>
      </c>
      <c r="E64" s="338" t="str">
        <f>+IF(N13="X","HMA Std 2","Moist std ct")</f>
        <v>Moist std ct</v>
      </c>
      <c r="F64" s="335" t="s">
        <v>148</v>
      </c>
      <c r="G64" s="338" t="s">
        <v>149</v>
      </c>
      <c r="H64" s="338"/>
      <c r="I64" s="338"/>
      <c r="J64" s="338"/>
      <c r="K64" s="338"/>
      <c r="L64" s="338"/>
      <c r="M64" s="265" t="s">
        <v>160</v>
      </c>
      <c r="N64" s="374" t="s">
        <v>22</v>
      </c>
      <c r="O64" s="374"/>
      <c r="P64" s="338" t="str">
        <f>+IF(N13="X","HMA Std 1","Soil Den std")</f>
        <v>Soil Den std</v>
      </c>
      <c r="Q64" s="338" t="str">
        <f>+IF(AA13="X","HMA Std 2","Moist std ct")</f>
        <v>Moist std ct</v>
      </c>
      <c r="R64" s="335" t="s">
        <v>148</v>
      </c>
      <c r="S64" s="338" t="s">
        <v>149</v>
      </c>
      <c r="T64" s="338"/>
      <c r="U64" s="338"/>
      <c r="V64" s="338"/>
      <c r="W64" s="338"/>
      <c r="X64" s="338"/>
      <c r="Y64" s="265" t="s">
        <v>160</v>
      </c>
      <c r="Z64" s="385"/>
      <c r="AA64" s="41"/>
      <c r="AB64" s="41"/>
      <c r="AC64" s="41"/>
      <c r="AD64" s="41"/>
      <c r="AE64" s="41" t="s">
        <v>70</v>
      </c>
      <c r="AF64" s="108"/>
      <c r="AG64" s="108"/>
      <c r="AH64" s="108"/>
      <c r="AI64" s="109"/>
      <c r="AJ64" s="109"/>
      <c r="AK64" s="53"/>
      <c r="AL64" s="83"/>
    </row>
    <row r="65" spans="2:83" ht="12.75" customHeight="1" x14ac:dyDescent="0.15">
      <c r="B65" s="375"/>
      <c r="C65" s="374"/>
      <c r="D65" s="338"/>
      <c r="E65" s="338"/>
      <c r="F65" s="335"/>
      <c r="G65" s="262" t="s">
        <v>150</v>
      </c>
      <c r="H65" s="262">
        <v>4</v>
      </c>
      <c r="I65" s="262">
        <v>6</v>
      </c>
      <c r="J65" s="262">
        <v>8</v>
      </c>
      <c r="K65" s="262">
        <v>10</v>
      </c>
      <c r="L65" s="262">
        <v>12</v>
      </c>
      <c r="M65" s="265" t="s">
        <v>151</v>
      </c>
      <c r="N65" s="374"/>
      <c r="O65" s="374"/>
      <c r="P65" s="338"/>
      <c r="Q65" s="338"/>
      <c r="R65" s="335"/>
      <c r="S65" s="262" t="s">
        <v>150</v>
      </c>
      <c r="T65" s="262">
        <v>4</v>
      </c>
      <c r="U65" s="262">
        <v>6</v>
      </c>
      <c r="V65" s="262">
        <v>8</v>
      </c>
      <c r="W65" s="262">
        <v>10</v>
      </c>
      <c r="X65" s="262">
        <v>12</v>
      </c>
      <c r="Y65" s="265" t="s">
        <v>151</v>
      </c>
      <c r="Z65" s="385"/>
      <c r="AA65" s="41"/>
      <c r="AB65" s="41"/>
      <c r="AC65" s="41"/>
      <c r="AD65" s="41" t="s">
        <v>116</v>
      </c>
      <c r="AF65" s="111">
        <v>1</v>
      </c>
      <c r="AG65" s="111">
        <v>2</v>
      </c>
      <c r="AH65" s="111">
        <v>3</v>
      </c>
      <c r="AI65" s="109"/>
      <c r="AJ65" s="109"/>
      <c r="AK65" s="53"/>
      <c r="AL65" s="83"/>
    </row>
    <row r="66" spans="2:83" ht="12.75" customHeight="1" x14ac:dyDescent="0.15">
      <c r="B66" s="356">
        <v>42871</v>
      </c>
      <c r="C66" s="357"/>
      <c r="D66" s="76">
        <v>2072</v>
      </c>
      <c r="E66" s="76">
        <v>609</v>
      </c>
      <c r="F66" s="336"/>
      <c r="G66" s="263" t="s">
        <v>152</v>
      </c>
      <c r="H66" s="212"/>
      <c r="I66" s="211"/>
      <c r="J66" s="212"/>
      <c r="K66" s="211"/>
      <c r="L66" s="212"/>
      <c r="M66" s="272"/>
      <c r="N66" s="359"/>
      <c r="O66" s="359"/>
      <c r="P66" s="76"/>
      <c r="Q66" s="76"/>
      <c r="R66" s="336"/>
      <c r="S66" s="263" t="s">
        <v>152</v>
      </c>
      <c r="T66" s="212"/>
      <c r="U66" s="211"/>
      <c r="V66" s="212"/>
      <c r="W66" s="211"/>
      <c r="X66" s="212"/>
      <c r="Y66" s="211"/>
      <c r="Z66" s="385"/>
      <c r="AA66" s="41"/>
      <c r="AB66" s="41"/>
      <c r="AC66" s="41"/>
      <c r="AD66" s="41"/>
      <c r="AE66" s="41" t="s">
        <v>15</v>
      </c>
      <c r="AF66" s="108" t="str">
        <f>IF($M$17="","",IF(OR(AF47&lt;2,AF61&lt;2),"&lt;2pts",IF(AF69=0,0,FTEST(AF51:AF60,AF17:AF46))))</f>
        <v/>
      </c>
      <c r="AG66" s="108" t="str">
        <f>IF($M$17="","",IF(OR(AG47&lt;2,AG61&lt;2),"&lt;2pts",IF(AG69=0,0,FTEST(AG51:AG60,AG17:AG46))))</f>
        <v/>
      </c>
      <c r="AH66" s="108" t="str">
        <f>IF($M$17="","",IF(OR(AH47&lt;2,AH61&lt;2),"&lt;2pts",IF(AH69=0,0,FTEST(AH51:AH60,AH17:AH46))))</f>
        <v/>
      </c>
      <c r="AI66" s="109"/>
      <c r="AJ66" s="109"/>
      <c r="AK66" s="41"/>
      <c r="AL66" s="43"/>
      <c r="AM66" s="41"/>
      <c r="AN66" s="41"/>
      <c r="AO66" s="41"/>
      <c r="AP66" s="116"/>
      <c r="AR66" s="116"/>
      <c r="AU66" s="116"/>
      <c r="AW66" s="116"/>
      <c r="BS66" s="97"/>
      <c r="BT66" s="125"/>
      <c r="BU66" s="41"/>
      <c r="BV66" s="41"/>
      <c r="BW66" s="41"/>
      <c r="BX66" s="116"/>
      <c r="CB66" s="116"/>
      <c r="CC66" s="116"/>
      <c r="CE66" s="116"/>
    </row>
    <row r="67" spans="2:83" ht="12.75" customHeight="1" x14ac:dyDescent="0.15">
      <c r="B67" s="358"/>
      <c r="C67" s="359"/>
      <c r="D67" s="76"/>
      <c r="E67" s="76"/>
      <c r="F67" s="335"/>
      <c r="G67" s="263" t="s">
        <v>153</v>
      </c>
      <c r="H67" s="212"/>
      <c r="I67" s="211"/>
      <c r="J67" s="212"/>
      <c r="K67" s="211"/>
      <c r="L67" s="212"/>
      <c r="M67" s="263" t="s">
        <v>154</v>
      </c>
      <c r="N67" s="359"/>
      <c r="O67" s="359"/>
      <c r="P67" s="76"/>
      <c r="Q67" s="76"/>
      <c r="R67" s="335"/>
      <c r="S67" s="263" t="s">
        <v>153</v>
      </c>
      <c r="T67" s="212"/>
      <c r="U67" s="211"/>
      <c r="V67" s="212"/>
      <c r="W67" s="211"/>
      <c r="X67" s="212"/>
      <c r="Y67" s="263" t="s">
        <v>154</v>
      </c>
      <c r="Z67" s="385"/>
      <c r="AA67" s="41"/>
      <c r="AB67" s="41"/>
      <c r="AC67" s="41"/>
      <c r="AD67" s="41"/>
      <c r="AE67" s="41" t="s">
        <v>26</v>
      </c>
      <c r="AF67" s="41" t="str">
        <f>IF(OR(AF47&lt;3,AF61&lt;3),"&lt;3pts",_xlfn.T.TEST(AF17:AF46,AF51:AF60,2,AF68))</f>
        <v>&lt;3pts</v>
      </c>
      <c r="AG67" s="41" t="str">
        <f>IF(OR(AG47&lt;3,AG61&lt;3),"&lt;3pts",_xlfn.T.TEST(AG17:AG46,AG51:AG60,2,AG68))</f>
        <v>&lt;3pts</v>
      </c>
      <c r="AH67" s="41" t="str">
        <f>IF(OR(AH47&lt;3,AH61&lt;3),"&lt;3pts",_xlfn.T.TEST(AH17:AH46,AH51:AH60,2,AH68))</f>
        <v>&lt;3pts</v>
      </c>
      <c r="AI67" s="107"/>
      <c r="AJ67" s="107"/>
      <c r="AK67" s="41"/>
      <c r="AL67" s="43"/>
      <c r="AM67" s="41"/>
      <c r="AN67" s="41"/>
      <c r="AO67" s="41"/>
      <c r="AP67" s="116"/>
      <c r="AR67" s="116"/>
      <c r="AU67" s="116"/>
      <c r="AW67" s="116"/>
    </row>
    <row r="68" spans="2:83" ht="12.75" customHeight="1" thickBot="1" x14ac:dyDescent="0.2">
      <c r="B68" s="360"/>
      <c r="C68" s="361"/>
      <c r="D68" s="234"/>
      <c r="E68" s="234"/>
      <c r="F68" s="337"/>
      <c r="G68" s="264" t="s">
        <v>155</v>
      </c>
      <c r="H68" s="214"/>
      <c r="I68" s="213"/>
      <c r="J68" s="214"/>
      <c r="K68" s="213"/>
      <c r="L68" s="214"/>
      <c r="M68" s="213"/>
      <c r="N68" s="361"/>
      <c r="O68" s="361"/>
      <c r="P68" s="234"/>
      <c r="Q68" s="234"/>
      <c r="R68" s="337"/>
      <c r="S68" s="264" t="s">
        <v>155</v>
      </c>
      <c r="T68" s="214"/>
      <c r="U68" s="213"/>
      <c r="V68" s="214"/>
      <c r="W68" s="213"/>
      <c r="X68" s="214"/>
      <c r="Y68" s="213"/>
      <c r="Z68" s="386"/>
      <c r="AA68" s="41"/>
      <c r="AB68" s="41"/>
      <c r="AC68" s="41"/>
      <c r="AD68" s="41"/>
      <c r="AE68" s="41" t="s">
        <v>74</v>
      </c>
      <c r="AF68" s="41" t="str">
        <f>+IF(C73="","",IF(C73&gt;0.05,2,3))</f>
        <v/>
      </c>
      <c r="AG68" s="41" t="str">
        <f>+IF(C79="","",IF(C79&gt;0.05,2,3))</f>
        <v/>
      </c>
      <c r="AH68" s="41" t="str">
        <f>+IF(C85="","",IF(C85&gt;0.05,2,3))</f>
        <v/>
      </c>
      <c r="AI68" s="107"/>
      <c r="AJ68" s="107"/>
      <c r="AK68" s="53"/>
      <c r="AL68" s="83"/>
    </row>
    <row r="69" spans="2:83" ht="12.75" customHeight="1" x14ac:dyDescent="0.15">
      <c r="B69" s="314" t="s">
        <v>137</v>
      </c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  <c r="X69" s="315"/>
      <c r="Y69" s="315"/>
      <c r="Z69" s="316"/>
      <c r="AA69" s="41"/>
      <c r="AB69" s="41"/>
      <c r="AC69" s="41"/>
      <c r="AD69" s="41"/>
      <c r="AE69" s="41" t="s">
        <v>71</v>
      </c>
      <c r="AF69" s="41">
        <v>1</v>
      </c>
      <c r="AG69" s="41">
        <v>1</v>
      </c>
      <c r="AH69" s="117">
        <v>1</v>
      </c>
      <c r="AI69" s="107"/>
      <c r="AJ69" s="107"/>
      <c r="AK69" s="53"/>
      <c r="AL69" s="83"/>
    </row>
    <row r="70" spans="2:83" ht="12.75" customHeight="1" thickBot="1" x14ac:dyDescent="0.2">
      <c r="B70" s="317"/>
      <c r="C70" s="318"/>
      <c r="D70" s="318"/>
      <c r="E70" s="318"/>
      <c r="F70" s="318"/>
      <c r="G70" s="318"/>
      <c r="H70" s="318"/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9"/>
      <c r="AA70" s="41"/>
      <c r="AB70" s="41"/>
      <c r="AC70" s="41"/>
      <c r="AD70" s="41"/>
      <c r="AE70" s="41"/>
      <c r="AF70" s="41"/>
      <c r="AG70" s="41"/>
      <c r="AH70" s="117"/>
      <c r="AI70" s="107"/>
      <c r="AJ70" s="107"/>
      <c r="AK70" s="53"/>
      <c r="AL70" s="83"/>
      <c r="BS70" s="55"/>
    </row>
    <row r="71" spans="2:83" ht="12.75" customHeight="1" x14ac:dyDescent="0.15">
      <c r="B71" s="365" t="str">
        <f>IF($N$13="x","VERIFICATION : Rice 1","VERIFICATION : Proctor 1")</f>
        <v>VERIFICATION : Proctor 1</v>
      </c>
      <c r="C71" s="299"/>
      <c r="D71" s="299"/>
      <c r="E71" s="299"/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366"/>
      <c r="AB71" s="41"/>
      <c r="AC71" s="41"/>
      <c r="AD71" s="41"/>
      <c r="AE71" s="41"/>
      <c r="AF71" s="41"/>
      <c r="AG71" s="41"/>
      <c r="AH71" s="117"/>
      <c r="AI71" s="107"/>
      <c r="AJ71" s="107"/>
      <c r="AK71" s="53"/>
      <c r="AL71" s="83"/>
      <c r="BS71" s="53"/>
    </row>
    <row r="72" spans="2:83" ht="12.75" customHeight="1" x14ac:dyDescent="0.15">
      <c r="B72" s="362" t="s">
        <v>28</v>
      </c>
      <c r="C72" s="300"/>
      <c r="D72" s="300"/>
      <c r="E72" s="300"/>
      <c r="F72" s="298" t="s">
        <v>27</v>
      </c>
      <c r="G72" s="298"/>
      <c r="H72" s="298"/>
      <c r="I72" s="298"/>
      <c r="J72" s="320" t="s">
        <v>140</v>
      </c>
      <c r="K72" s="320"/>
      <c r="L72" s="320" t="s">
        <v>38</v>
      </c>
      <c r="M72" s="298" t="s">
        <v>39</v>
      </c>
      <c r="N72" s="298" t="s">
        <v>40</v>
      </c>
      <c r="O72" s="320" t="s">
        <v>38</v>
      </c>
      <c r="P72" s="298" t="s">
        <v>39</v>
      </c>
      <c r="Q72" s="298" t="s">
        <v>40</v>
      </c>
      <c r="R72" s="320" t="s">
        <v>143</v>
      </c>
      <c r="S72" s="320"/>
      <c r="T72" s="306" t="s">
        <v>38</v>
      </c>
      <c r="U72" s="307"/>
      <c r="V72" s="298" t="s">
        <v>39</v>
      </c>
      <c r="W72" s="298" t="s">
        <v>40</v>
      </c>
      <c r="X72" s="320" t="s">
        <v>38</v>
      </c>
      <c r="Y72" s="298" t="s">
        <v>39</v>
      </c>
      <c r="Z72" s="302" t="s">
        <v>40</v>
      </c>
      <c r="AA72" s="41"/>
      <c r="AB72" s="41"/>
      <c r="AC72" s="41"/>
      <c r="AD72" s="41"/>
      <c r="AE72" s="41"/>
      <c r="AF72" s="41"/>
      <c r="AG72" s="41"/>
      <c r="AH72" s="117"/>
      <c r="AI72" s="107"/>
      <c r="AJ72" s="107"/>
      <c r="AK72" s="53"/>
      <c r="AL72" s="83"/>
      <c r="BS72" s="53"/>
    </row>
    <row r="73" spans="2:83" ht="12.75" customHeight="1" x14ac:dyDescent="0.15">
      <c r="B73" s="209" t="s">
        <v>119</v>
      </c>
      <c r="C73" s="236" t="str">
        <f>+IF(AF50=1,IF(AND(AF47&gt;0,AF61&gt;0),IF(AF16=AF50,AF66,"DIFF PROCT"),""))</f>
        <v/>
      </c>
      <c r="D73" s="300" t="str">
        <f>+IF(C73="","",IF(C73&lt;0.05,"Unequal Variance","Equal Variance"))</f>
        <v/>
      </c>
      <c r="E73" s="300"/>
      <c r="F73" s="205" t="s">
        <v>118</v>
      </c>
      <c r="G73" s="237" t="str">
        <f>+IF(AF47=0,"no data",IF(AF61=0,"no data",IF(AND(AF50=1,AF47&gt;0,AF61&gt;0),AF67,"")))</f>
        <v>no data</v>
      </c>
      <c r="H73" s="371" t="str">
        <f>+IF(G73="","",IF(OR(ISTEXT(G73),G73=""),"",IF(G73&lt;0.05,"FAIL","PASS")))</f>
        <v/>
      </c>
      <c r="I73" s="371"/>
      <c r="J73" s="320"/>
      <c r="K73" s="320"/>
      <c r="L73" s="320"/>
      <c r="M73" s="298"/>
      <c r="N73" s="298"/>
      <c r="O73" s="320"/>
      <c r="P73" s="298"/>
      <c r="Q73" s="298"/>
      <c r="R73" s="320"/>
      <c r="S73" s="320"/>
      <c r="T73" s="308"/>
      <c r="U73" s="309"/>
      <c r="V73" s="298"/>
      <c r="W73" s="298"/>
      <c r="X73" s="320"/>
      <c r="Y73" s="298"/>
      <c r="Z73" s="302"/>
      <c r="AA73" s="41"/>
      <c r="AB73" s="41"/>
      <c r="AC73" s="41" t="s">
        <v>109</v>
      </c>
      <c r="AE73" s="41"/>
      <c r="AF73" s="119" t="e">
        <f>+AVERAGE(AF17:AF46)</f>
        <v>#DIV/0!</v>
      </c>
      <c r="AG73" s="119" t="e">
        <f>+AVERAGE(AG17:AG46)</f>
        <v>#DIV/0!</v>
      </c>
      <c r="AH73" s="119" t="e">
        <f>+AVERAGE(AH17:AH46)</f>
        <v>#DIV/0!</v>
      </c>
      <c r="AI73" s="107"/>
      <c r="AJ73" s="107"/>
      <c r="AK73" s="53"/>
      <c r="AL73" s="83"/>
      <c r="BS73" s="53"/>
    </row>
    <row r="74" spans="2:83" ht="12.75" customHeight="1" x14ac:dyDescent="0.15">
      <c r="B74" s="362" t="s">
        <v>18</v>
      </c>
      <c r="C74" s="300"/>
      <c r="D74" s="300"/>
      <c r="E74" s="300"/>
      <c r="F74" s="363" t="s">
        <v>139</v>
      </c>
      <c r="G74" s="363"/>
      <c r="H74" s="363"/>
      <c r="I74" s="363"/>
      <c r="J74" s="320"/>
      <c r="K74" s="320"/>
      <c r="L74" s="206">
        <f>+IF($N$13="x",0,4)</f>
        <v>4</v>
      </c>
      <c r="M74" s="238" t="str">
        <f>IF($N$12="X",AP$47,IF(COUNT(C96:C125)&lt;3,"N/A",+C$127))</f>
        <v>N/A</v>
      </c>
      <c r="N74" s="239" t="str">
        <f>+IF(OR(M74="N/A",M74=""),"",IF(M74&lt;0.98,"FAIL","PASS"))</f>
        <v/>
      </c>
      <c r="O74" s="206">
        <f>+IF($N$13="x",1.5,10)</f>
        <v>10</v>
      </c>
      <c r="P74" s="238" t="str">
        <f>IF($N$12="X",BK47,IF(COUNT(I96:I125)&lt;3,"N/A",+I$127))</f>
        <v>N/A</v>
      </c>
      <c r="Q74" s="239" t="str">
        <f>+IF(OR(P74="N/A",P74=""),"",IF(P74&lt;0.98,"FAIL","PASS"))</f>
        <v/>
      </c>
      <c r="R74" s="320"/>
      <c r="S74" s="320"/>
      <c r="T74" s="206">
        <f>+IF($N$13="x",3,4)</f>
        <v>4</v>
      </c>
      <c r="U74" s="206"/>
      <c r="V74" s="238" t="str">
        <f>IF($N$12="X",AP$61,IF(COUNT(O96:O125)&lt;3,"N/A",+O$127))</f>
        <v>N/A</v>
      </c>
      <c r="W74" s="239" t="str">
        <f>+IF(OR(V74="N/A",V74=""),"",IF(V74&lt;0.98,"FAIL","PASS"))</f>
        <v/>
      </c>
      <c r="X74" s="206">
        <f>+IF($N$13="x","",10)</f>
        <v>10</v>
      </c>
      <c r="Y74" s="238" t="str">
        <f>IF($N$12="X",BK$61,IF(COUNT(V96:V125)&lt;3,"N/A",+V$127))</f>
        <v>N/A</v>
      </c>
      <c r="Z74" s="240" t="str">
        <f>+IF(OR(Y74="N/A",Y74=""),"",IF(Y74&lt;0.98,"FAIL","PASS"))</f>
        <v/>
      </c>
      <c r="AA74" s="41"/>
      <c r="AB74" s="41"/>
      <c r="AC74" s="41" t="s">
        <v>110</v>
      </c>
      <c r="AE74" s="41"/>
      <c r="AF74" s="119" t="e">
        <f>+AVERAGE(AF51:AF60)</f>
        <v>#DIV/0!</v>
      </c>
      <c r="AG74" s="119" t="e">
        <f>+AVERAGE(AG51:AG60)</f>
        <v>#DIV/0!</v>
      </c>
      <c r="AH74" s="119" t="e">
        <f>+AVERAGE(AH51:AH60)</f>
        <v>#DIV/0!</v>
      </c>
      <c r="AI74" s="107"/>
      <c r="AJ74" s="107"/>
      <c r="AK74" s="53"/>
      <c r="AL74" s="83"/>
      <c r="BS74" s="53"/>
    </row>
    <row r="75" spans="2:83" ht="12.75" customHeight="1" x14ac:dyDescent="0.15">
      <c r="B75" s="350"/>
      <c r="C75" s="351"/>
      <c r="D75" s="351"/>
      <c r="E75" s="351"/>
      <c r="F75" s="351"/>
      <c r="G75" s="351"/>
      <c r="H75" s="351"/>
      <c r="I75" s="351"/>
      <c r="J75" s="320"/>
      <c r="K75" s="320"/>
      <c r="L75" s="206">
        <f>+IF($N$13="x",0.5,6)</f>
        <v>6</v>
      </c>
      <c r="M75" s="238" t="str">
        <f>IF($N$12="X",AW$47,IF(COUNT(C97:C126)&lt;3,"N/A",+C$127))</f>
        <v>N/A</v>
      </c>
      <c r="N75" s="239" t="str">
        <f>+IF(OR(M75="N/A",M75=""),"",IF(M75&lt;0.98,"FAIL","PASS"))</f>
        <v/>
      </c>
      <c r="O75" s="206">
        <f>+IF($N$13="x",2,12)</f>
        <v>12</v>
      </c>
      <c r="P75" s="238" t="str">
        <f>IF($N$12="X",BO47,IF(COUNT(I97:I126)&lt;3,"N/A",+I$127))</f>
        <v>N/A</v>
      </c>
      <c r="Q75" s="239" t="str">
        <f>+IF(OR(P75="N/A",P75=""),"",IF(P75&lt;0.98,"FAIL","PASS"))</f>
        <v/>
      </c>
      <c r="R75" s="320"/>
      <c r="S75" s="320"/>
      <c r="T75" s="206">
        <f>+IF($N$13="x",3.5,6)</f>
        <v>6</v>
      </c>
      <c r="U75" s="206"/>
      <c r="V75" s="238" t="str">
        <f>IF($N$12="X",AW$61,IF(COUNT(O97:O126)&lt;3,"N/A",+O$127))</f>
        <v>N/A</v>
      </c>
      <c r="W75" s="239" t="str">
        <f>+IF(OR(V75="N/A",V75=""),"",IF(V75&lt;0.98,"FAIL","PASS"))</f>
        <v/>
      </c>
      <c r="X75" s="206">
        <f>+IF($N$13="x","",12)</f>
        <v>12</v>
      </c>
      <c r="Y75" s="238" t="str">
        <f>IF($N$12="X",BO$61,IF(COUNT(V97:V126)&lt;3,"N/A",+V$127))</f>
        <v>N/A</v>
      </c>
      <c r="Z75" s="240" t="str">
        <f>+IF(OR(Y75="N/A",Y75=""),"",IF(Y75&lt;0.98,"FAIL","PASS"))</f>
        <v/>
      </c>
      <c r="AA75" s="73"/>
      <c r="AB75" s="73"/>
      <c r="AC75" s="73"/>
      <c r="AE75" s="73"/>
      <c r="AF75" s="120"/>
      <c r="AG75" s="120"/>
      <c r="AH75" s="120"/>
      <c r="AI75" s="121"/>
      <c r="AJ75" s="121"/>
      <c r="AK75" s="53"/>
      <c r="AL75" s="83"/>
      <c r="BS75" s="53"/>
    </row>
    <row r="76" spans="2:83" ht="12.75" customHeight="1" thickBot="1" x14ac:dyDescent="0.2">
      <c r="B76" s="352"/>
      <c r="C76" s="353"/>
      <c r="D76" s="353"/>
      <c r="E76" s="353"/>
      <c r="F76" s="353"/>
      <c r="G76" s="353"/>
      <c r="H76" s="353"/>
      <c r="I76" s="353"/>
      <c r="J76" s="364"/>
      <c r="K76" s="364"/>
      <c r="L76" s="249">
        <f>+IF($N$13="x",1,8)</f>
        <v>8</v>
      </c>
      <c r="M76" s="250" t="str">
        <f>IF($N$12="X",BD$47,IF(COUNT(C98:C127)&lt;3,"N/A",+C$127))</f>
        <v>N/A</v>
      </c>
      <c r="N76" s="251" t="str">
        <f>+IF(OR(M76="N/A",M76=""),"",IF(M76&lt;0.98,"FAIL","PASS"))</f>
        <v/>
      </c>
      <c r="O76" s="249" t="str">
        <f>+IF($N$13="x",2.5,"")</f>
        <v/>
      </c>
      <c r="P76" s="250"/>
      <c r="Q76" s="251" t="str">
        <f>+IF(OR(P76="N/A",P76=""),"",IF(P76&lt;0.98,"FAIL","PASS"))</f>
        <v/>
      </c>
      <c r="R76" s="364"/>
      <c r="S76" s="364"/>
      <c r="T76" s="249">
        <f>+IF($N$13="x",4,8)</f>
        <v>8</v>
      </c>
      <c r="U76" s="249"/>
      <c r="V76" s="250" t="str">
        <f>IF($N$12="X",BD$61,IF(COUNT(O98:O127)&lt;3,"N/A",+O$127))</f>
        <v>N/A</v>
      </c>
      <c r="W76" s="251" t="str">
        <f>+IF(OR(V76="N/A",V76=""),"",IF(V76&lt;0.98,"FAIL","PASS"))</f>
        <v/>
      </c>
      <c r="X76" s="249"/>
      <c r="Y76" s="250"/>
      <c r="Z76" s="252" t="str">
        <f>+IF(OR(Y76="N/A",Y76=""),"",IF(Y76&lt;0.98,"FAIL","PASS"))</f>
        <v/>
      </c>
      <c r="AA76" s="41"/>
      <c r="AB76" s="41"/>
      <c r="AC76" s="41" t="s">
        <v>112</v>
      </c>
      <c r="AE76" s="41"/>
      <c r="AF76" s="119" t="e">
        <f>+STDEV(AF17:AF46)</f>
        <v>#DIV/0!</v>
      </c>
      <c r="AG76" s="119" t="e">
        <f>+STDEV(AG17:AG46)</f>
        <v>#DIV/0!</v>
      </c>
      <c r="AH76" s="119" t="e">
        <f>+STDEV(AH17:AH46)</f>
        <v>#DIV/0!</v>
      </c>
      <c r="AI76" s="107"/>
      <c r="AJ76" s="107"/>
      <c r="AK76" s="53"/>
      <c r="AL76" s="83"/>
      <c r="BS76" s="53"/>
    </row>
    <row r="77" spans="2:83" ht="12.75" customHeight="1" x14ac:dyDescent="0.15">
      <c r="B77" s="368" t="str">
        <f>IF($N$13="x","VERIFICATION : Rice 2","VERIFICATION : Proctor 2")</f>
        <v>VERIFICATION : Proctor 2</v>
      </c>
      <c r="C77" s="369"/>
      <c r="D77" s="369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70"/>
      <c r="AA77" s="73"/>
      <c r="AC77" s="110" t="s">
        <v>113</v>
      </c>
      <c r="AF77" s="122" t="e">
        <f>+STDEV(AF51:AF60)</f>
        <v>#DIV/0!</v>
      </c>
      <c r="AG77" s="122" t="e">
        <f>+STDEV(AG51:AG60)</f>
        <v>#DIV/0!</v>
      </c>
      <c r="AH77" s="122" t="e">
        <f>+STDEV(AH51:AH60)</f>
        <v>#DIV/0!</v>
      </c>
      <c r="AK77" s="53"/>
      <c r="AL77" s="83"/>
      <c r="BS77" s="53"/>
    </row>
    <row r="78" spans="2:83" ht="12.75" customHeight="1" x14ac:dyDescent="0.15">
      <c r="B78" s="362" t="s">
        <v>28</v>
      </c>
      <c r="C78" s="300"/>
      <c r="D78" s="300"/>
      <c r="E78" s="300"/>
      <c r="F78" s="298" t="s">
        <v>27</v>
      </c>
      <c r="G78" s="298"/>
      <c r="H78" s="298"/>
      <c r="I78" s="298"/>
      <c r="J78" s="320" t="s">
        <v>141</v>
      </c>
      <c r="K78" s="320"/>
      <c r="L78" s="320" t="s">
        <v>38</v>
      </c>
      <c r="M78" s="298" t="s">
        <v>39</v>
      </c>
      <c r="N78" s="298" t="s">
        <v>40</v>
      </c>
      <c r="O78" s="320" t="s">
        <v>38</v>
      </c>
      <c r="P78" s="298" t="s">
        <v>39</v>
      </c>
      <c r="Q78" s="298" t="s">
        <v>40</v>
      </c>
      <c r="R78" s="320" t="s">
        <v>144</v>
      </c>
      <c r="S78" s="320"/>
      <c r="T78" s="320" t="s">
        <v>38</v>
      </c>
      <c r="U78" s="76"/>
      <c r="V78" s="298" t="s">
        <v>39</v>
      </c>
      <c r="W78" s="298" t="s">
        <v>40</v>
      </c>
      <c r="X78" s="320" t="s">
        <v>38</v>
      </c>
      <c r="Y78" s="298" t="s">
        <v>39</v>
      </c>
      <c r="Z78" s="302" t="s">
        <v>40</v>
      </c>
      <c r="AA78" s="41"/>
      <c r="AK78" s="53"/>
      <c r="AL78" s="83"/>
      <c r="BS78" s="53"/>
    </row>
    <row r="79" spans="2:83" ht="12.75" customHeight="1" x14ac:dyDescent="0.15">
      <c r="B79" s="209" t="s">
        <v>119</v>
      </c>
      <c r="C79" s="236" t="str">
        <f>+IF(AG50=2,IF(AND(AG47&gt;0,AG61&gt;0),IF(AG16=AG50,AG66,"DIFF PROCT"),""))</f>
        <v/>
      </c>
      <c r="D79" s="300" t="str">
        <f>+IF(C79="","",IF(C79&lt;0.05,"Unequal Variance","Equal Variance"))</f>
        <v/>
      </c>
      <c r="E79" s="300"/>
      <c r="F79" s="205" t="s">
        <v>118</v>
      </c>
      <c r="G79" s="237" t="str">
        <f>+IF(AG47=0,"no data",IF(AG61=0,"no data",IF(AND(AG50=2,AG47&gt;0,AG61&gt;0),AG67,"")))</f>
        <v>no data</v>
      </c>
      <c r="H79" s="371" t="str">
        <f>+IF(G79="","",IF(OR(ISTEXT(G79),G79=""),"",IF(G79&lt;0.05,"FAIL","PASS")))</f>
        <v/>
      </c>
      <c r="I79" s="371"/>
      <c r="J79" s="320"/>
      <c r="K79" s="320"/>
      <c r="L79" s="320"/>
      <c r="M79" s="298"/>
      <c r="N79" s="298"/>
      <c r="O79" s="320"/>
      <c r="P79" s="298"/>
      <c r="Q79" s="298"/>
      <c r="R79" s="320"/>
      <c r="S79" s="320"/>
      <c r="T79" s="320"/>
      <c r="U79" s="76"/>
      <c r="V79" s="298"/>
      <c r="W79" s="298"/>
      <c r="X79" s="320"/>
      <c r="Y79" s="298"/>
      <c r="Z79" s="302"/>
      <c r="AA79" s="44"/>
      <c r="AC79" s="110" t="s">
        <v>111</v>
      </c>
      <c r="AF79" s="124" t="e">
        <f>+AF76/(AF47)^0.5</f>
        <v>#DIV/0!</v>
      </c>
      <c r="AG79" s="124" t="e">
        <f>+AG76/(AG47)^0.5</f>
        <v>#DIV/0!</v>
      </c>
      <c r="AH79" s="124" t="e">
        <f>+AH76/(AH47)^0.5</f>
        <v>#DIV/0!</v>
      </c>
      <c r="AK79" s="53"/>
      <c r="AL79" s="83"/>
      <c r="BS79" s="53"/>
    </row>
    <row r="80" spans="2:83" ht="12.75" customHeight="1" x14ac:dyDescent="0.15">
      <c r="B80" s="362" t="s">
        <v>18</v>
      </c>
      <c r="C80" s="300"/>
      <c r="D80" s="300"/>
      <c r="E80" s="300"/>
      <c r="F80" s="363" t="s">
        <v>139</v>
      </c>
      <c r="G80" s="363"/>
      <c r="H80" s="363"/>
      <c r="I80" s="363"/>
      <c r="J80" s="320"/>
      <c r="K80" s="320"/>
      <c r="L80" s="206">
        <f>+IF($N$13="x",0,4)</f>
        <v>4</v>
      </c>
      <c r="M80" s="238" t="str">
        <f>IF($N$12="X",BX$47,IF(COUNT(C131:C140)&lt;3,"N/A",+C$142))</f>
        <v>N/A</v>
      </c>
      <c r="N80" s="239" t="str">
        <f>+IF(OR(M80="N/A",M80=""),"",IF(M80&lt;0.98,"FAIL","PASS"))</f>
        <v/>
      </c>
      <c r="O80" s="206">
        <f>+IF($N$13="x",1.5,10)</f>
        <v>10</v>
      </c>
      <c r="P80" s="238" t="str">
        <f>IF($N$12="X",CS$47,IF(COUNT(I131:I140)&lt;3,"N/A",+I$142))</f>
        <v>N/A</v>
      </c>
      <c r="Q80" s="239" t="str">
        <f>+IF(OR(P80="N/A",P80=""),"",IF(P80&lt;0.98,"FAIL","PASS"))</f>
        <v/>
      </c>
      <c r="R80" s="320"/>
      <c r="S80" s="320"/>
      <c r="T80" s="206">
        <f>+IF($N$13="x",3,4)</f>
        <v>4</v>
      </c>
      <c r="U80" s="206"/>
      <c r="V80" s="238" t="str">
        <f>IF($N$12="X",BX$61,IF(COUNT(O131:O140)&lt;3,"N/A",+O$142))</f>
        <v>N/A</v>
      </c>
      <c r="W80" s="239" t="str">
        <f>+IF(OR(V80="N/A",V80=""),"",IF(V80&lt;0.98,"FAIL","PASS"))</f>
        <v/>
      </c>
      <c r="X80" s="75">
        <f>IF($N$13="X","",10)</f>
        <v>10</v>
      </c>
      <c r="Y80" s="238" t="str">
        <f>IF($N$12="X",CS$61,IF(COUNT(Q131:Q140)&lt;3,"N/A",+Q$142))</f>
        <v>N/A</v>
      </c>
      <c r="Z80" s="240" t="str">
        <f>+IF(OR(Y80="N/A",Y80=""),"",IF(Y80&lt;0.98,"FAIL","PASS"))</f>
        <v/>
      </c>
      <c r="AA80" s="82"/>
      <c r="AC80" s="110" t="s">
        <v>114</v>
      </c>
      <c r="AF80" s="124" t="e">
        <f>+AF61/(AF77)^0.5</f>
        <v>#DIV/0!</v>
      </c>
      <c r="AG80" s="124" t="e">
        <f>+AG61/(AG77)^0.5</f>
        <v>#DIV/0!</v>
      </c>
      <c r="AH80" s="124" t="e">
        <f>+AH61/(AH77)^0.5</f>
        <v>#DIV/0!</v>
      </c>
      <c r="AK80" s="53"/>
      <c r="AL80" s="83"/>
      <c r="BS80" s="53"/>
    </row>
    <row r="81" spans="1:127" ht="12.75" customHeight="1" x14ac:dyDescent="0.15">
      <c r="B81" s="350"/>
      <c r="C81" s="351"/>
      <c r="D81" s="351"/>
      <c r="E81" s="351"/>
      <c r="F81" s="351"/>
      <c r="G81" s="351"/>
      <c r="H81" s="351"/>
      <c r="I81" s="351"/>
      <c r="J81" s="320"/>
      <c r="K81" s="320"/>
      <c r="L81" s="206">
        <f>+IF($N$13="x",0.5,6)</f>
        <v>6</v>
      </c>
      <c r="M81" s="238" t="str">
        <f>IF($N$12="X",CE$47,IF(COUNT(C132:C141)&lt;3,"N/A",+C$142))</f>
        <v>N/A</v>
      </c>
      <c r="N81" s="239" t="str">
        <f>+IF(OR(M81="N/A",M81=""),"",IF(M81&lt;0.98,"FAIL","PASS"))</f>
        <v/>
      </c>
      <c r="O81" s="206">
        <f>+IF($N$13="x",2,12)</f>
        <v>12</v>
      </c>
      <c r="P81" s="238" t="str">
        <f>IF($N$12="X",CW$47,IF(COUNT(I132:I141)&lt;3,"N/A",+I$142))</f>
        <v>N/A</v>
      </c>
      <c r="Q81" s="239" t="str">
        <f>+IF(OR(P81="N/A",P81=""),"",IF(P81&lt;0.98,"FAIL","PASS"))</f>
        <v/>
      </c>
      <c r="R81" s="320"/>
      <c r="S81" s="320"/>
      <c r="T81" s="206">
        <f>+IF($N$13="x",3.5,6)</f>
        <v>6</v>
      </c>
      <c r="U81" s="206"/>
      <c r="V81" s="238" t="str">
        <f>IF($N$12="X",CE$61,IF(COUNT(O132:O141)&lt;3,"N/A",+O$142))</f>
        <v>N/A</v>
      </c>
      <c r="W81" s="239" t="str">
        <f>+IF(OR(V81="N/A",V81=""),"",IF(V81&lt;0.98,"FAIL","PASS"))</f>
        <v/>
      </c>
      <c r="X81" s="75">
        <f>IF($N$13="X","",12)</f>
        <v>12</v>
      </c>
      <c r="Y81" s="238" t="str">
        <f>IF($N$12="X",CW$61,IF(COUNT(Q132:Q141)&lt;3,"N/A",+Q$142))</f>
        <v>N/A</v>
      </c>
      <c r="Z81" s="240" t="str">
        <f>+IF(Y81="N/A","",IF(Y81&lt;0.98,"FAIL","PASS"))</f>
        <v/>
      </c>
      <c r="AA81" s="82"/>
      <c r="AK81" s="53"/>
      <c r="AL81" s="83"/>
      <c r="BS81" s="53"/>
    </row>
    <row r="82" spans="1:127" ht="12.75" customHeight="1" thickBot="1" x14ac:dyDescent="0.2">
      <c r="B82" s="354"/>
      <c r="C82" s="355"/>
      <c r="D82" s="355"/>
      <c r="E82" s="355"/>
      <c r="F82" s="355"/>
      <c r="G82" s="355"/>
      <c r="H82" s="355"/>
      <c r="I82" s="355"/>
      <c r="J82" s="367"/>
      <c r="K82" s="367"/>
      <c r="L82" s="253">
        <f>+IF($N$13="x",1,8)</f>
        <v>8</v>
      </c>
      <c r="M82" s="254" t="str">
        <f>IF($N$12="X",CL$47,IF(COUNT(C133:C142)&lt;3,"N/A",+C$142))</f>
        <v>N/A</v>
      </c>
      <c r="N82" s="255" t="str">
        <f>+IF(OR(M82="N/A",M82=""),"",IF(M82&lt;0.98,"FAIL","PASS"))</f>
        <v/>
      </c>
      <c r="O82" s="253" t="str">
        <f>+IF($N$13="x",2.5,"")</f>
        <v/>
      </c>
      <c r="P82" s="254"/>
      <c r="Q82" s="255" t="str">
        <f>+IF(OR(P82="N/A",P82=""),"",IF(P82&lt;0.98,"FAIL","PASS"))</f>
        <v/>
      </c>
      <c r="R82" s="367"/>
      <c r="S82" s="367"/>
      <c r="T82" s="253">
        <f>+IF($N$13="x",4,8)</f>
        <v>8</v>
      </c>
      <c r="U82" s="253"/>
      <c r="V82" s="254" t="str">
        <f>IF($N$12="X",CL$61,IF(COUNT(O133:O142)&lt;3,"N/A",+O$142))</f>
        <v>N/A</v>
      </c>
      <c r="W82" s="255" t="str">
        <f>+IF(OR(V82="N/A",V82=""),"",IF(V82&lt;0.98,"FAIL","PASS"))</f>
        <v/>
      </c>
      <c r="X82" s="256"/>
      <c r="Y82" s="254"/>
      <c r="Z82" s="257"/>
      <c r="AA82" s="81"/>
      <c r="AK82" s="53"/>
      <c r="AL82" s="83"/>
      <c r="BS82" s="53"/>
    </row>
    <row r="83" spans="1:127" ht="12.75" customHeight="1" x14ac:dyDescent="0.15">
      <c r="B83" s="365" t="str">
        <f>IF($N$13="x","VERIFICATION : Rice 3","VERIFICATION : Proctor 3")</f>
        <v>VERIFICATION : Proctor 3</v>
      </c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366"/>
      <c r="AA83" s="82"/>
      <c r="AC83" s="110" t="s">
        <v>115</v>
      </c>
      <c r="AF83" s="122" t="e">
        <f>+(AF79^2+AF80^2)^0.5</f>
        <v>#DIV/0!</v>
      </c>
      <c r="AG83" s="122" t="e">
        <f>+(AG79^2+AG80^2)^0.5</f>
        <v>#DIV/0!</v>
      </c>
      <c r="AH83" s="122" t="e">
        <f>+(AH79^2+AH80^2)^0.5</f>
        <v>#DIV/0!</v>
      </c>
      <c r="AK83" s="53"/>
      <c r="AL83" s="83"/>
      <c r="BS83" s="53"/>
    </row>
    <row r="84" spans="1:127" ht="12.75" customHeight="1" x14ac:dyDescent="0.15">
      <c r="B84" s="362" t="s">
        <v>28</v>
      </c>
      <c r="C84" s="300"/>
      <c r="D84" s="300"/>
      <c r="E84" s="300"/>
      <c r="F84" s="298" t="s">
        <v>27</v>
      </c>
      <c r="G84" s="298"/>
      <c r="H84" s="298"/>
      <c r="I84" s="298"/>
      <c r="J84" s="320" t="s">
        <v>142</v>
      </c>
      <c r="K84" s="320"/>
      <c r="L84" s="320" t="s">
        <v>38</v>
      </c>
      <c r="M84" s="298" t="s">
        <v>39</v>
      </c>
      <c r="N84" s="298" t="s">
        <v>40</v>
      </c>
      <c r="O84" s="320" t="s">
        <v>38</v>
      </c>
      <c r="P84" s="298" t="s">
        <v>39</v>
      </c>
      <c r="Q84" s="298" t="s">
        <v>40</v>
      </c>
      <c r="R84" s="320" t="s">
        <v>145</v>
      </c>
      <c r="S84" s="320"/>
      <c r="T84" s="320" t="s">
        <v>38</v>
      </c>
      <c r="U84" s="76"/>
      <c r="V84" s="298" t="s">
        <v>39</v>
      </c>
      <c r="W84" s="298" t="s">
        <v>40</v>
      </c>
      <c r="X84" s="320" t="s">
        <v>38</v>
      </c>
      <c r="Y84" s="298" t="s">
        <v>39</v>
      </c>
      <c r="Z84" s="302" t="s">
        <v>40</v>
      </c>
      <c r="AA84" s="82"/>
      <c r="AK84" s="53"/>
      <c r="AL84" s="83"/>
      <c r="BS84" s="53"/>
    </row>
    <row r="85" spans="1:127" ht="12.75" customHeight="1" x14ac:dyDescent="0.15">
      <c r="B85" s="209" t="s">
        <v>119</v>
      </c>
      <c r="C85" s="236" t="str">
        <f>+IF(AH50=3,IF(AND(AH47&gt;0,AH61&gt;0),IF(AH16=AH50,AH66,"DIFF PROCT"),""))</f>
        <v/>
      </c>
      <c r="D85" s="300" t="str">
        <f>+IF(C85="","",IF(C85&lt;0.05,"Unequal Variance","Equal Variance"))</f>
        <v/>
      </c>
      <c r="E85" s="300"/>
      <c r="F85" s="205" t="s">
        <v>118</v>
      </c>
      <c r="G85" s="237" t="str">
        <f>+IF(AH47=0,"no data",IF(AH61=0,"no data",IF(AND(AH50=3,AH47&gt;0,AH61&gt;0),AH67,"")))</f>
        <v>no data</v>
      </c>
      <c r="H85" s="371" t="str">
        <f>+IF(G85="","",IF(OR(ISTEXT(G85),G85=""),"",IF(G85&lt;0.05,"FAIL","PASS")))</f>
        <v/>
      </c>
      <c r="I85" s="371"/>
      <c r="J85" s="320"/>
      <c r="K85" s="320"/>
      <c r="L85" s="320"/>
      <c r="M85" s="298"/>
      <c r="N85" s="298"/>
      <c r="O85" s="320"/>
      <c r="P85" s="298"/>
      <c r="Q85" s="298"/>
      <c r="R85" s="320"/>
      <c r="S85" s="320"/>
      <c r="T85" s="320"/>
      <c r="U85" s="76"/>
      <c r="V85" s="298"/>
      <c r="W85" s="298"/>
      <c r="X85" s="320"/>
      <c r="Y85" s="298"/>
      <c r="Z85" s="302"/>
      <c r="AA85" s="82"/>
      <c r="AB85" s="81"/>
      <c r="AC85" s="81" t="s">
        <v>117</v>
      </c>
      <c r="AD85" s="81"/>
      <c r="AE85" s="81"/>
      <c r="AF85" s="81" t="e">
        <f>+(AF73-AF74)/AF83</f>
        <v>#DIV/0!</v>
      </c>
      <c r="AG85" s="81" t="e">
        <f>+(AG73-AG74)/AG83</f>
        <v>#DIV/0!</v>
      </c>
      <c r="AH85" s="81" t="e">
        <f>+(AH73-AH74)/AH83</f>
        <v>#DIV/0!</v>
      </c>
      <c r="AI85" s="105"/>
      <c r="AJ85" s="105"/>
      <c r="AK85" s="53"/>
      <c r="AL85" s="83"/>
      <c r="BS85" s="53"/>
    </row>
    <row r="86" spans="1:127" ht="12.75" customHeight="1" x14ac:dyDescent="0.15">
      <c r="B86" s="362" t="s">
        <v>18</v>
      </c>
      <c r="C86" s="300"/>
      <c r="D86" s="300"/>
      <c r="E86" s="300"/>
      <c r="F86" s="363" t="s">
        <v>139</v>
      </c>
      <c r="G86" s="363"/>
      <c r="H86" s="363"/>
      <c r="I86" s="363"/>
      <c r="J86" s="320"/>
      <c r="K86" s="320"/>
      <c r="L86" s="206">
        <f>+IF($N$13="x",0,4)</f>
        <v>4</v>
      </c>
      <c r="M86" s="238" t="str">
        <f>IF($N$12="X",DF$47,IF(COUNT(DF17:DF46)&lt;3,"N/A",+DF$47))</f>
        <v>N/A</v>
      </c>
      <c r="N86" s="239" t="str">
        <f>+IF(M86="N/A","",IF(M86&lt;0.98,"FAIL","PASS"))</f>
        <v/>
      </c>
      <c r="O86" s="206">
        <f>+IF($N$13="x",1.5,10)</f>
        <v>10</v>
      </c>
      <c r="P86" s="241" t="str">
        <f>+DR47</f>
        <v>N/A</v>
      </c>
      <c r="Q86" s="239" t="str">
        <f>+IF(P86="N/A","",IF(P86&lt;0.98,"FAIL","PASS"))</f>
        <v/>
      </c>
      <c r="R86" s="320"/>
      <c r="S86" s="320"/>
      <c r="T86" s="206">
        <v>4</v>
      </c>
      <c r="U86" s="206"/>
      <c r="V86" s="242" t="str">
        <f>+DF61</f>
        <v>N/A</v>
      </c>
      <c r="W86" s="239" t="str">
        <f>+IF(V86="N/A","",IF(V86&lt;0.98,"FAIL","PASS"))</f>
        <v/>
      </c>
      <c r="X86" s="206">
        <v>10</v>
      </c>
      <c r="Y86" s="242" t="str">
        <f>+DR61</f>
        <v>N/A</v>
      </c>
      <c r="Z86" s="240" t="str">
        <f>+IF(Y86="N/A","",IF(Y86&lt;0.98,"FAIL","PASS"))</f>
        <v/>
      </c>
      <c r="AA86" s="82"/>
      <c r="AK86" s="53"/>
      <c r="AL86" s="83"/>
      <c r="BS86" s="53"/>
    </row>
    <row r="87" spans="1:127" ht="12.75" customHeight="1" x14ac:dyDescent="0.15">
      <c r="B87" s="350"/>
      <c r="C87" s="351"/>
      <c r="D87" s="351"/>
      <c r="E87" s="351"/>
      <c r="F87" s="351"/>
      <c r="G87" s="351"/>
      <c r="H87" s="351"/>
      <c r="I87" s="351"/>
      <c r="J87" s="320"/>
      <c r="K87" s="320"/>
      <c r="L87" s="206">
        <f>+IF($N$13="x",0.5,6)</f>
        <v>6</v>
      </c>
      <c r="M87" s="238" t="str">
        <f>IF($N$12="X",DJ$47,IF(COUNT(Z97:Z126)&lt;3,"N/A",+Z$127))</f>
        <v>N/A</v>
      </c>
      <c r="N87" s="239" t="str">
        <f>+IF(M87="N/A","",IF(M87&lt;0.98,"FAIL","PASS"))</f>
        <v/>
      </c>
      <c r="O87" s="206">
        <f>+IF($N$13="x",2,12)</f>
        <v>12</v>
      </c>
      <c r="P87" s="241" t="str">
        <f>+DV47</f>
        <v>N/A</v>
      </c>
      <c r="Q87" s="239" t="str">
        <f>+IF(P87="N/A","",IF(P87&lt;0.98,"FAIL","PASS"))</f>
        <v/>
      </c>
      <c r="R87" s="320"/>
      <c r="S87" s="320"/>
      <c r="T87" s="206">
        <v>6</v>
      </c>
      <c r="U87" s="206"/>
      <c r="V87" s="242" t="str">
        <f>+DJ61</f>
        <v>N/A</v>
      </c>
      <c r="W87" s="239" t="str">
        <f>+IF(V87="N/A","",IF(V87&lt;0.98,"FAIL","PASS"))</f>
        <v/>
      </c>
      <c r="X87" s="206">
        <v>12</v>
      </c>
      <c r="Y87" s="242" t="str">
        <f>+DV61</f>
        <v>N/A</v>
      </c>
      <c r="Z87" s="240" t="str">
        <f>+IF(Y87="N/A","",IF(Y87&lt;0.98,"FAIL","PASS"))</f>
        <v/>
      </c>
      <c r="AA87" s="82"/>
      <c r="AK87" s="53"/>
      <c r="AL87" s="83"/>
      <c r="BS87" s="53"/>
    </row>
    <row r="88" spans="1:127" ht="12.75" customHeight="1" thickBot="1" x14ac:dyDescent="0.2">
      <c r="B88" s="352"/>
      <c r="C88" s="353"/>
      <c r="D88" s="353"/>
      <c r="E88" s="353"/>
      <c r="F88" s="353"/>
      <c r="G88" s="353"/>
      <c r="H88" s="353"/>
      <c r="I88" s="353"/>
      <c r="J88" s="364"/>
      <c r="K88" s="364"/>
      <c r="L88" s="249">
        <f>+IF($N$13="x",1,8)</f>
        <v>8</v>
      </c>
      <c r="M88" s="258" t="str">
        <f>+DN47</f>
        <v>N/A</v>
      </c>
      <c r="N88" s="251" t="str">
        <f>+IF(M88="N/A","",IF(M88&lt;0.98,"FAIL","PASS"))</f>
        <v/>
      </c>
      <c r="O88" s="249" t="str">
        <f>+IF($N$13="x",2.5,"")</f>
        <v/>
      </c>
      <c r="P88" s="258"/>
      <c r="Q88" s="259"/>
      <c r="R88" s="364"/>
      <c r="S88" s="364"/>
      <c r="T88" s="249">
        <v>8</v>
      </c>
      <c r="U88" s="249"/>
      <c r="V88" s="260" t="str">
        <f>+DN61</f>
        <v>N/A</v>
      </c>
      <c r="W88" s="251" t="str">
        <f>+IF(V88="N/A","",IF(V88&lt;0.98,"FAIL","PASS"))</f>
        <v/>
      </c>
      <c r="X88" s="249"/>
      <c r="Y88" s="260"/>
      <c r="Z88" s="252"/>
      <c r="AA88" s="82"/>
      <c r="AK88" s="53"/>
      <c r="AL88" s="83"/>
      <c r="BS88" s="53"/>
    </row>
    <row r="89" spans="1:127" ht="12.75" customHeight="1" thickBot="1" x14ac:dyDescent="0.2">
      <c r="B89" s="323" t="s">
        <v>138</v>
      </c>
      <c r="C89" s="324"/>
      <c r="D89" s="325" t="s">
        <v>165</v>
      </c>
      <c r="E89" s="325"/>
      <c r="F89" s="325"/>
      <c r="G89" s="325"/>
      <c r="H89" s="325"/>
      <c r="I89" s="325"/>
      <c r="J89" s="325"/>
      <c r="K89" s="325"/>
      <c r="L89" s="325"/>
      <c r="M89" s="326"/>
      <c r="N89" s="344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8"/>
      <c r="AA89" s="82"/>
      <c r="AK89" s="53"/>
      <c r="AL89" s="83"/>
      <c r="BS89" s="53"/>
    </row>
    <row r="90" spans="1:127" ht="12.75" customHeight="1" x14ac:dyDescent="0.15">
      <c r="B90" s="327" t="s">
        <v>166</v>
      </c>
      <c r="C90" s="328"/>
      <c r="D90" s="328"/>
      <c r="E90" s="328"/>
      <c r="F90" s="328"/>
      <c r="G90" s="328"/>
      <c r="H90" s="328"/>
      <c r="I90" s="328"/>
      <c r="J90" s="328"/>
      <c r="K90" s="328"/>
      <c r="L90" s="328"/>
      <c r="M90" s="329"/>
      <c r="N90" s="346"/>
      <c r="O90" s="347"/>
      <c r="P90" s="347"/>
      <c r="Q90" s="347"/>
      <c r="R90" s="347"/>
      <c r="S90" s="347"/>
      <c r="T90" s="347"/>
      <c r="U90" s="347"/>
      <c r="V90" s="347"/>
      <c r="W90" s="347"/>
      <c r="X90" s="347"/>
      <c r="Y90" s="347"/>
      <c r="Z90" s="349"/>
      <c r="AA90" s="82"/>
      <c r="AK90" s="53"/>
      <c r="AL90" s="83"/>
      <c r="BS90" s="53"/>
    </row>
    <row r="91" spans="1:127" ht="12.75" customHeight="1" x14ac:dyDescent="0.15">
      <c r="B91" s="330" t="s">
        <v>164</v>
      </c>
      <c r="C91" s="331"/>
      <c r="D91" s="331"/>
      <c r="E91" s="331"/>
      <c r="F91" s="331"/>
      <c r="G91" s="331"/>
      <c r="H91" s="331"/>
      <c r="I91" s="331"/>
      <c r="J91" s="331"/>
      <c r="K91" s="331"/>
      <c r="L91" s="331"/>
      <c r="M91" s="332"/>
      <c r="N91" s="343" t="s">
        <v>16</v>
      </c>
      <c r="O91" s="340"/>
      <c r="P91" s="340"/>
      <c r="Q91" s="340"/>
      <c r="R91" s="340"/>
      <c r="S91" s="340"/>
      <c r="T91" s="342"/>
      <c r="U91" s="339" t="s">
        <v>42</v>
      </c>
      <c r="V91" s="340"/>
      <c r="W91" s="342"/>
      <c r="X91" s="339" t="s">
        <v>22</v>
      </c>
      <c r="Y91" s="340"/>
      <c r="Z91" s="341"/>
      <c r="AA91" s="82"/>
      <c r="AK91" s="53"/>
      <c r="AL91" s="83"/>
      <c r="BS91" s="53"/>
    </row>
    <row r="92" spans="1:127" ht="12.75" customHeight="1" thickBot="1" x14ac:dyDescent="0.2">
      <c r="B92" s="243" t="s">
        <v>43</v>
      </c>
      <c r="C92" s="244"/>
      <c r="D92" s="245" t="s">
        <v>122</v>
      </c>
      <c r="E92" s="261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291" t="s">
        <v>19</v>
      </c>
      <c r="Z92" s="291"/>
      <c r="AA92" s="82"/>
      <c r="BS92" s="53"/>
      <c r="CL92" s="53"/>
      <c r="CN92" s="53"/>
    </row>
    <row r="93" spans="1:127" ht="8.25" customHeight="1" x14ac:dyDescent="0.15">
      <c r="D93" s="77"/>
      <c r="AA93" s="82"/>
      <c r="AB93" s="82"/>
      <c r="AC93" s="82"/>
      <c r="AD93" s="82"/>
      <c r="AE93" s="82"/>
      <c r="AF93" s="82"/>
      <c r="AG93" s="82"/>
      <c r="BS93" s="53"/>
      <c r="CL93" s="78"/>
      <c r="CN93" s="78"/>
    </row>
    <row r="94" spans="1:127" ht="8.25" customHeight="1" x14ac:dyDescent="0.15">
      <c r="AA94" s="82"/>
      <c r="AB94" s="82"/>
      <c r="AC94" s="82"/>
      <c r="AD94" s="82"/>
      <c r="AE94" s="82"/>
      <c r="AF94" s="82"/>
      <c r="AG94" s="82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J94" s="126"/>
      <c r="BK94" s="126"/>
      <c r="BL94" s="126"/>
      <c r="BM94" s="126"/>
      <c r="BN94" s="126"/>
      <c r="BO94" s="126"/>
      <c r="BP94" s="126"/>
      <c r="BQ94" s="126"/>
      <c r="BR94" s="126"/>
      <c r="BS94" s="133"/>
      <c r="BT94" s="126"/>
      <c r="BU94" s="126"/>
      <c r="BV94" s="126"/>
      <c r="BW94" s="126"/>
      <c r="BX94" s="126"/>
      <c r="BY94" s="126"/>
      <c r="BZ94" s="126"/>
      <c r="CA94" s="126"/>
      <c r="CB94" s="126"/>
      <c r="CC94" s="126"/>
      <c r="CD94" s="126"/>
      <c r="CE94" s="126"/>
      <c r="CF94" s="126"/>
      <c r="CG94" s="126"/>
      <c r="CH94" s="126"/>
      <c r="CI94" s="126"/>
      <c r="CJ94" s="126"/>
      <c r="CK94" s="126"/>
      <c r="CL94" s="132"/>
      <c r="CM94" s="126"/>
      <c r="CN94" s="132"/>
      <c r="CO94" s="126"/>
      <c r="CP94" s="126"/>
      <c r="CQ94" s="132"/>
      <c r="CR94" s="126"/>
      <c r="CS94" s="126"/>
      <c r="CT94" s="126"/>
      <c r="CU94" s="126"/>
      <c r="CV94" s="126"/>
      <c r="CW94" s="126"/>
      <c r="CX94" s="126"/>
      <c r="CY94" s="126"/>
      <c r="CZ94" s="126"/>
      <c r="DA94" s="126"/>
      <c r="DB94" s="126"/>
      <c r="DC94" s="126"/>
      <c r="DD94" s="126"/>
      <c r="DE94" s="126"/>
      <c r="DF94" s="126"/>
      <c r="DG94" s="126"/>
      <c r="DH94" s="126"/>
      <c r="DI94" s="126"/>
      <c r="DJ94" s="126"/>
      <c r="DK94" s="126"/>
      <c r="DL94" s="126"/>
      <c r="DM94" s="126"/>
      <c r="DN94" s="126"/>
      <c r="DO94" s="126"/>
      <c r="DP94" s="126"/>
      <c r="DQ94" s="126"/>
      <c r="DR94" s="126"/>
      <c r="DS94" s="126"/>
      <c r="DT94" s="126"/>
      <c r="DU94" s="126"/>
      <c r="DV94" s="126"/>
      <c r="DW94" s="126"/>
    </row>
    <row r="95" spans="1:127" s="126" customFormat="1" ht="8.25" customHeight="1" x14ac:dyDescent="0.15">
      <c r="B95" s="79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210"/>
      <c r="AA95" s="127"/>
      <c r="AB95" s="127"/>
      <c r="AC95" s="127"/>
      <c r="AD95" s="127"/>
      <c r="AE95" s="127"/>
      <c r="AF95" s="127"/>
      <c r="AG95" s="127"/>
      <c r="AH95" s="128"/>
      <c r="AI95" s="129"/>
      <c r="AJ95" s="129"/>
      <c r="AK95" s="97"/>
      <c r="AL95" s="125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53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40"/>
      <c r="CM95" s="81"/>
      <c r="CN95" s="40"/>
      <c r="CO95" s="81"/>
      <c r="CP95" s="81"/>
      <c r="CQ95" s="40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</row>
    <row r="96" spans="1:127" ht="8.25" customHeight="1" x14ac:dyDescent="0.15">
      <c r="A96" s="81">
        <v>1</v>
      </c>
      <c r="B96" s="74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 t="str">
        <f t="shared" ref="T96:T125" si="174">IF($L17="","",IF($L17=4,+$T17,""))</f>
        <v/>
      </c>
      <c r="U96" s="150"/>
      <c r="AA96" s="82"/>
      <c r="AB96" s="82"/>
      <c r="AC96" s="82"/>
      <c r="AD96" s="82"/>
      <c r="AE96" s="82"/>
      <c r="AF96" s="82"/>
      <c r="AG96" s="82"/>
      <c r="BS96" s="53"/>
      <c r="CL96" s="40"/>
      <c r="CN96" s="40"/>
      <c r="CQ96" s="40"/>
    </row>
    <row r="97" spans="1:95" ht="8.25" customHeight="1" x14ac:dyDescent="0.15">
      <c r="A97" s="81">
        <f>+A96+1</f>
        <v>2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 t="str">
        <f t="shared" si="174"/>
        <v/>
      </c>
      <c r="U97" s="150"/>
      <c r="AA97" s="82"/>
      <c r="AB97" s="82"/>
      <c r="AC97" s="82"/>
      <c r="AD97" s="82"/>
      <c r="AE97" s="82"/>
      <c r="AF97" s="82"/>
      <c r="AG97" s="82"/>
      <c r="BS97" s="53"/>
      <c r="CL97" s="40"/>
      <c r="CN97" s="40"/>
      <c r="CQ97" s="40"/>
    </row>
    <row r="98" spans="1:95" ht="8.25" customHeight="1" x14ac:dyDescent="0.15">
      <c r="A98" s="81">
        <f t="shared" ref="A98:A125" si="175">+A97+1</f>
        <v>3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 t="str">
        <f t="shared" si="174"/>
        <v/>
      </c>
      <c r="U98" s="150"/>
      <c r="AA98" s="82"/>
      <c r="AB98" s="82"/>
      <c r="AC98" s="82"/>
      <c r="AD98" s="82"/>
      <c r="AE98" s="82"/>
      <c r="AF98" s="82"/>
      <c r="AG98" s="82"/>
      <c r="BS98" s="53"/>
      <c r="CL98" s="40"/>
      <c r="CN98" s="40"/>
      <c r="CQ98" s="40"/>
    </row>
    <row r="99" spans="1:95" ht="8.25" customHeight="1" x14ac:dyDescent="0.15">
      <c r="A99" s="81">
        <f t="shared" si="175"/>
        <v>4</v>
      </c>
      <c r="B99" s="80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 t="str">
        <f t="shared" si="174"/>
        <v/>
      </c>
      <c r="U99" s="150"/>
      <c r="AA99" s="82"/>
      <c r="AB99" s="82"/>
      <c r="AC99" s="82"/>
      <c r="AD99" s="82"/>
      <c r="AE99" s="82"/>
      <c r="AF99" s="82"/>
      <c r="AG99" s="82"/>
      <c r="BS99" s="53"/>
      <c r="CL99" s="40"/>
      <c r="CN99" s="40"/>
      <c r="CQ99" s="40"/>
    </row>
    <row r="100" spans="1:95" ht="8.25" customHeight="1" x14ac:dyDescent="0.15">
      <c r="A100" s="81">
        <f t="shared" si="175"/>
        <v>5</v>
      </c>
      <c r="B100" s="80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 t="str">
        <f t="shared" si="174"/>
        <v/>
      </c>
      <c r="U100" s="150"/>
      <c r="AA100" s="82"/>
      <c r="AB100" s="82"/>
      <c r="AC100" s="82"/>
      <c r="AD100" s="82"/>
      <c r="AE100" s="82"/>
      <c r="AF100" s="82"/>
      <c r="AG100" s="82"/>
      <c r="BS100" s="53"/>
      <c r="CL100" s="40"/>
      <c r="CN100" s="40"/>
      <c r="CQ100" s="40"/>
    </row>
    <row r="101" spans="1:95" ht="8.25" customHeight="1" x14ac:dyDescent="0.15">
      <c r="A101" s="81">
        <f t="shared" si="175"/>
        <v>6</v>
      </c>
      <c r="B101" s="80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 t="str">
        <f t="shared" si="174"/>
        <v/>
      </c>
      <c r="U101" s="150"/>
      <c r="AA101" s="82"/>
      <c r="AB101" s="82"/>
      <c r="AC101" s="82"/>
      <c r="AD101" s="82"/>
      <c r="AE101" s="82"/>
      <c r="AF101" s="82"/>
      <c r="AG101" s="82"/>
      <c r="BS101" s="53"/>
      <c r="CL101" s="40"/>
      <c r="CN101" s="40"/>
      <c r="CQ101" s="40"/>
    </row>
    <row r="102" spans="1:95" ht="8.25" customHeight="1" x14ac:dyDescent="0.15">
      <c r="A102" s="81">
        <f t="shared" si="175"/>
        <v>7</v>
      </c>
      <c r="B102" s="80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 t="str">
        <f t="shared" si="174"/>
        <v/>
      </c>
      <c r="U102" s="150"/>
      <c r="AA102" s="82"/>
      <c r="AB102" s="82"/>
      <c r="AC102" s="82"/>
      <c r="AD102" s="82"/>
      <c r="AE102" s="82"/>
      <c r="AF102" s="82"/>
      <c r="AG102" s="82"/>
      <c r="BS102" s="53"/>
      <c r="CL102" s="40"/>
      <c r="CN102" s="40"/>
      <c r="CQ102" s="40"/>
    </row>
    <row r="103" spans="1:95" ht="8.25" customHeight="1" x14ac:dyDescent="0.15">
      <c r="A103" s="81">
        <f t="shared" si="175"/>
        <v>8</v>
      </c>
      <c r="B103" s="80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 t="str">
        <f t="shared" si="174"/>
        <v/>
      </c>
      <c r="U103" s="150"/>
      <c r="AA103" s="82"/>
      <c r="AB103" s="82"/>
      <c r="AC103" s="82"/>
      <c r="AD103" s="82"/>
      <c r="AE103" s="82"/>
      <c r="AF103" s="82"/>
      <c r="AG103" s="82"/>
      <c r="BS103" s="53"/>
      <c r="CL103" s="40"/>
      <c r="CN103" s="40"/>
      <c r="CQ103" s="40"/>
    </row>
    <row r="104" spans="1:95" ht="8.25" customHeight="1" x14ac:dyDescent="0.15">
      <c r="A104" s="81">
        <f t="shared" si="175"/>
        <v>9</v>
      </c>
      <c r="B104" s="80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 t="str">
        <f t="shared" si="174"/>
        <v/>
      </c>
      <c r="U104" s="150"/>
      <c r="AA104" s="82"/>
      <c r="AB104" s="82"/>
      <c r="AC104" s="82"/>
      <c r="AD104" s="82"/>
      <c r="AE104" s="82"/>
      <c r="AF104" s="82"/>
      <c r="AG104" s="82"/>
      <c r="BS104" s="53"/>
      <c r="CL104" s="40"/>
      <c r="CN104" s="40"/>
      <c r="CQ104" s="40"/>
    </row>
    <row r="105" spans="1:95" ht="8.25" customHeight="1" x14ac:dyDescent="0.15">
      <c r="A105" s="81">
        <f t="shared" si="175"/>
        <v>10</v>
      </c>
      <c r="B105" s="80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 t="str">
        <f t="shared" si="174"/>
        <v/>
      </c>
      <c r="U105" s="150"/>
      <c r="AA105" s="82"/>
      <c r="AB105" s="82"/>
      <c r="AC105" s="82"/>
      <c r="AD105" s="82"/>
      <c r="AE105" s="82"/>
      <c r="AF105" s="82"/>
      <c r="AG105" s="82"/>
      <c r="CL105" s="40"/>
      <c r="CN105" s="40"/>
      <c r="CQ105" s="40"/>
    </row>
    <row r="106" spans="1:95" ht="8.25" customHeight="1" x14ac:dyDescent="0.15">
      <c r="A106" s="81">
        <f t="shared" si="175"/>
        <v>11</v>
      </c>
      <c r="B106" s="80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 t="str">
        <f t="shared" si="174"/>
        <v/>
      </c>
      <c r="U106" s="150"/>
      <c r="AA106" s="82"/>
      <c r="AB106" s="82"/>
      <c r="AC106" s="82"/>
      <c r="AD106" s="82"/>
      <c r="AE106" s="82"/>
      <c r="AF106" s="82"/>
      <c r="AG106" s="82"/>
      <c r="CL106" s="40"/>
      <c r="CN106" s="40"/>
      <c r="CQ106" s="40"/>
    </row>
    <row r="107" spans="1:95" ht="8.25" customHeight="1" x14ac:dyDescent="0.15">
      <c r="A107" s="81">
        <f t="shared" si="175"/>
        <v>12</v>
      </c>
      <c r="B107" s="80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 t="str">
        <f t="shared" si="174"/>
        <v/>
      </c>
      <c r="U107" s="150"/>
      <c r="AA107" s="82"/>
      <c r="AB107" s="82"/>
      <c r="AC107" s="82"/>
      <c r="AD107" s="82"/>
      <c r="AE107" s="82"/>
      <c r="AF107" s="82"/>
      <c r="AG107" s="82"/>
      <c r="CL107" s="40"/>
      <c r="CN107" s="40"/>
      <c r="CQ107" s="40"/>
    </row>
    <row r="108" spans="1:95" ht="8.25" customHeight="1" x14ac:dyDescent="0.15">
      <c r="A108" s="81">
        <f t="shared" si="175"/>
        <v>13</v>
      </c>
      <c r="B108" s="80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 t="str">
        <f t="shared" si="174"/>
        <v/>
      </c>
      <c r="U108" s="150"/>
      <c r="AA108" s="82"/>
      <c r="AB108" s="82"/>
      <c r="AC108" s="82"/>
      <c r="AD108" s="82"/>
      <c r="AE108" s="82"/>
      <c r="AF108" s="82"/>
      <c r="AG108" s="82"/>
      <c r="CL108" s="40"/>
      <c r="CN108" s="40"/>
      <c r="CQ108" s="40"/>
    </row>
    <row r="109" spans="1:95" ht="8.25" customHeight="1" x14ac:dyDescent="0.15">
      <c r="A109" s="81">
        <f t="shared" si="175"/>
        <v>14</v>
      </c>
      <c r="B109" s="80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 t="str">
        <f t="shared" si="174"/>
        <v/>
      </c>
      <c r="U109" s="150"/>
      <c r="AA109" s="82"/>
      <c r="AB109" s="82"/>
      <c r="AC109" s="82"/>
      <c r="AD109" s="82"/>
      <c r="AE109" s="82"/>
      <c r="AF109" s="82"/>
      <c r="AG109" s="82"/>
      <c r="CL109" s="40"/>
      <c r="CN109" s="40"/>
      <c r="CQ109" s="40"/>
    </row>
    <row r="110" spans="1:95" ht="8.25" customHeight="1" x14ac:dyDescent="0.15">
      <c r="A110" s="81">
        <f t="shared" si="175"/>
        <v>15</v>
      </c>
      <c r="B110" s="80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 t="str">
        <f t="shared" si="174"/>
        <v/>
      </c>
      <c r="U110" s="150"/>
      <c r="AA110" s="82"/>
      <c r="AB110" s="82"/>
      <c r="AC110" s="82"/>
      <c r="AD110" s="82"/>
      <c r="AE110" s="82"/>
      <c r="AF110" s="82"/>
      <c r="AG110" s="82"/>
      <c r="CL110" s="40"/>
      <c r="CN110" s="40"/>
      <c r="CQ110" s="40"/>
    </row>
    <row r="111" spans="1:95" ht="8.25" customHeight="1" x14ac:dyDescent="0.15">
      <c r="A111" s="81">
        <f t="shared" si="175"/>
        <v>16</v>
      </c>
      <c r="B111" s="80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 t="str">
        <f t="shared" si="174"/>
        <v/>
      </c>
      <c r="U111" s="150"/>
      <c r="AA111" s="82"/>
      <c r="AB111" s="82"/>
      <c r="AC111" s="82"/>
      <c r="AD111" s="82"/>
      <c r="AE111" s="82"/>
      <c r="AF111" s="82"/>
      <c r="AG111" s="82"/>
      <c r="CL111" s="40"/>
      <c r="CN111" s="40"/>
      <c r="CQ111" s="40"/>
    </row>
    <row r="112" spans="1:95" ht="8.25" customHeight="1" x14ac:dyDescent="0.15">
      <c r="A112" s="81">
        <f t="shared" si="175"/>
        <v>17</v>
      </c>
      <c r="B112" s="80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 t="str">
        <f t="shared" si="174"/>
        <v/>
      </c>
      <c r="U112" s="150"/>
      <c r="AA112" s="82"/>
      <c r="AB112" s="82"/>
      <c r="AC112" s="82"/>
      <c r="AD112" s="82"/>
      <c r="AE112" s="82"/>
      <c r="AF112" s="82"/>
      <c r="AG112" s="82"/>
      <c r="CL112" s="40"/>
      <c r="CN112" s="40"/>
      <c r="CQ112" s="40"/>
    </row>
    <row r="113" spans="1:95" ht="8.25" customHeight="1" x14ac:dyDescent="0.15">
      <c r="A113" s="81">
        <f t="shared" si="175"/>
        <v>18</v>
      </c>
      <c r="B113" s="80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 t="str">
        <f t="shared" si="174"/>
        <v/>
      </c>
      <c r="U113" s="150"/>
      <c r="AA113" s="82"/>
      <c r="AB113" s="82"/>
      <c r="AC113" s="82"/>
      <c r="AD113" s="82"/>
      <c r="AE113" s="82"/>
      <c r="AF113" s="82"/>
      <c r="AG113" s="82"/>
      <c r="CL113" s="40"/>
      <c r="CN113" s="40"/>
      <c r="CQ113" s="40"/>
    </row>
    <row r="114" spans="1:95" ht="8.25" customHeight="1" x14ac:dyDescent="0.15">
      <c r="A114" s="81">
        <f t="shared" si="175"/>
        <v>19</v>
      </c>
      <c r="B114" s="80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 t="str">
        <f t="shared" si="174"/>
        <v/>
      </c>
      <c r="U114" s="150"/>
      <c r="AA114" s="82"/>
      <c r="AB114" s="82"/>
      <c r="AC114" s="82"/>
      <c r="AD114" s="82"/>
      <c r="AE114" s="82"/>
      <c r="AF114" s="82"/>
      <c r="AG114" s="82"/>
      <c r="CL114" s="40"/>
      <c r="CN114" s="40"/>
      <c r="CQ114" s="40"/>
    </row>
    <row r="115" spans="1:95" ht="8.25" customHeight="1" x14ac:dyDescent="0.15">
      <c r="A115" s="81">
        <f t="shared" si="175"/>
        <v>20</v>
      </c>
      <c r="B115" s="80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 t="str">
        <f t="shared" si="174"/>
        <v/>
      </c>
      <c r="U115" s="150"/>
      <c r="AA115" s="82"/>
      <c r="AB115" s="82"/>
      <c r="AC115" s="82"/>
      <c r="AD115" s="82"/>
      <c r="AE115" s="82"/>
      <c r="AF115" s="82"/>
      <c r="AG115" s="82"/>
      <c r="CL115" s="40"/>
      <c r="CN115" s="40"/>
      <c r="CQ115" s="40"/>
    </row>
    <row r="116" spans="1:95" ht="8.25" customHeight="1" x14ac:dyDescent="0.15">
      <c r="A116" s="81">
        <f t="shared" si="175"/>
        <v>21</v>
      </c>
      <c r="B116" s="80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 t="str">
        <f t="shared" si="174"/>
        <v/>
      </c>
      <c r="U116" s="150"/>
      <c r="AA116" s="82"/>
      <c r="AB116" s="82"/>
      <c r="AC116" s="82"/>
      <c r="AD116" s="82"/>
      <c r="AE116" s="82"/>
      <c r="AF116" s="82"/>
      <c r="AG116" s="82"/>
      <c r="CL116" s="40"/>
      <c r="CN116" s="40"/>
      <c r="CQ116" s="40"/>
    </row>
    <row r="117" spans="1:95" ht="8.25" customHeight="1" x14ac:dyDescent="0.15">
      <c r="A117" s="81">
        <f t="shared" si="175"/>
        <v>22</v>
      </c>
      <c r="B117" s="80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 t="str">
        <f t="shared" si="174"/>
        <v/>
      </c>
      <c r="U117" s="150"/>
      <c r="AA117" s="82"/>
      <c r="AB117" s="82"/>
      <c r="AC117" s="82"/>
      <c r="AD117" s="82"/>
      <c r="AE117" s="82"/>
      <c r="AF117" s="82"/>
      <c r="AG117" s="82"/>
      <c r="CL117" s="40"/>
      <c r="CN117" s="40"/>
      <c r="CQ117" s="40"/>
    </row>
    <row r="118" spans="1:95" ht="8.25" customHeight="1" x14ac:dyDescent="0.15">
      <c r="A118" s="81">
        <f t="shared" si="175"/>
        <v>23</v>
      </c>
      <c r="B118" s="80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 t="str">
        <f t="shared" si="174"/>
        <v/>
      </c>
      <c r="U118" s="150"/>
      <c r="AA118" s="82"/>
      <c r="AB118" s="82"/>
      <c r="AC118" s="82"/>
      <c r="AD118" s="82"/>
      <c r="AE118" s="82"/>
      <c r="AF118" s="82"/>
      <c r="AG118" s="82"/>
      <c r="CL118" s="40"/>
      <c r="CN118" s="40"/>
      <c r="CQ118" s="40"/>
    </row>
    <row r="119" spans="1:95" ht="8.25" customHeight="1" x14ac:dyDescent="0.15">
      <c r="A119" s="81">
        <f t="shared" si="175"/>
        <v>24</v>
      </c>
      <c r="B119" s="80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 t="str">
        <f t="shared" si="174"/>
        <v/>
      </c>
      <c r="U119" s="150"/>
      <c r="AA119" s="82"/>
      <c r="AB119" s="82"/>
      <c r="AC119" s="82"/>
      <c r="AD119" s="82"/>
      <c r="AE119" s="82"/>
      <c r="AF119" s="82"/>
      <c r="AG119" s="82"/>
      <c r="CL119" s="40"/>
      <c r="CN119" s="40"/>
      <c r="CQ119" s="40"/>
    </row>
    <row r="120" spans="1:95" ht="8.25" customHeight="1" x14ac:dyDescent="0.15">
      <c r="A120" s="81">
        <f>+A119+1</f>
        <v>25</v>
      </c>
      <c r="B120" s="80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 t="str">
        <f t="shared" si="174"/>
        <v/>
      </c>
      <c r="U120" s="150"/>
      <c r="AA120" s="82"/>
      <c r="AB120" s="82"/>
      <c r="AC120" s="82"/>
      <c r="AD120" s="82"/>
      <c r="AE120" s="82"/>
      <c r="AF120" s="82"/>
      <c r="AG120" s="82"/>
      <c r="CL120" s="40"/>
      <c r="CN120" s="40"/>
      <c r="CQ120" s="40"/>
    </row>
    <row r="121" spans="1:95" ht="8.25" customHeight="1" x14ac:dyDescent="0.15">
      <c r="A121" s="81">
        <f t="shared" si="175"/>
        <v>26</v>
      </c>
      <c r="B121" s="80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 t="str">
        <f t="shared" si="174"/>
        <v/>
      </c>
      <c r="U121" s="150"/>
      <c r="AA121" s="82"/>
      <c r="AB121" s="82"/>
      <c r="AC121" s="82"/>
      <c r="AD121" s="82"/>
      <c r="AE121" s="82"/>
      <c r="AF121" s="82"/>
      <c r="AG121" s="82"/>
      <c r="CL121" s="40"/>
      <c r="CN121" s="40"/>
      <c r="CQ121" s="40"/>
    </row>
    <row r="122" spans="1:95" ht="8.25" customHeight="1" x14ac:dyDescent="0.15">
      <c r="A122" s="81">
        <f t="shared" si="175"/>
        <v>27</v>
      </c>
      <c r="B122" s="80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 t="str">
        <f t="shared" si="174"/>
        <v/>
      </c>
      <c r="U122" s="150"/>
      <c r="AA122" s="82"/>
      <c r="AB122" s="82"/>
      <c r="AC122" s="82"/>
      <c r="AD122" s="82"/>
      <c r="AE122" s="82"/>
      <c r="AF122" s="82"/>
      <c r="AG122" s="82"/>
      <c r="CL122" s="40"/>
      <c r="CN122" s="40"/>
      <c r="CQ122" s="40"/>
    </row>
    <row r="123" spans="1:95" ht="8.25" customHeight="1" x14ac:dyDescent="0.15">
      <c r="A123" s="81">
        <f t="shared" si="175"/>
        <v>28</v>
      </c>
      <c r="B123" s="80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 t="str">
        <f t="shared" si="174"/>
        <v/>
      </c>
      <c r="U123" s="150"/>
      <c r="AA123" s="82"/>
      <c r="AB123" s="82"/>
      <c r="AC123" s="82"/>
      <c r="AD123" s="82"/>
      <c r="AE123" s="82"/>
      <c r="AF123" s="82"/>
      <c r="AG123" s="82"/>
      <c r="CL123" s="40"/>
      <c r="CN123" s="40"/>
      <c r="CQ123" s="40"/>
    </row>
    <row r="124" spans="1:95" ht="8.25" customHeight="1" x14ac:dyDescent="0.15">
      <c r="A124" s="81">
        <f t="shared" si="175"/>
        <v>29</v>
      </c>
      <c r="B124" s="80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 t="str">
        <f t="shared" si="174"/>
        <v/>
      </c>
      <c r="U124" s="150"/>
      <c r="AA124" s="82"/>
      <c r="AB124" s="82"/>
      <c r="AC124" s="82"/>
      <c r="AD124" s="82"/>
      <c r="AE124" s="82"/>
      <c r="AF124" s="82"/>
      <c r="AG124" s="82"/>
      <c r="CL124" s="40" t="s">
        <v>120</v>
      </c>
      <c r="CN124" s="40"/>
      <c r="CQ124" s="40"/>
    </row>
    <row r="125" spans="1:95" ht="8.25" customHeight="1" x14ac:dyDescent="0.15">
      <c r="A125" s="81">
        <f t="shared" si="175"/>
        <v>30</v>
      </c>
      <c r="B125" s="80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 t="str">
        <f t="shared" si="174"/>
        <v/>
      </c>
      <c r="U125" s="150"/>
      <c r="AG125" s="82"/>
      <c r="CL125" s="40"/>
      <c r="CN125" s="40"/>
      <c r="CQ125" s="40"/>
    </row>
    <row r="126" spans="1:95" ht="8.25" customHeight="1" x14ac:dyDescent="0.15">
      <c r="B126" s="55"/>
      <c r="C126" s="103"/>
      <c r="D126" s="134"/>
      <c r="E126" s="53"/>
      <c r="F126" s="135"/>
      <c r="G126" s="136"/>
      <c r="H126" s="134"/>
      <c r="I126" s="53"/>
      <c r="J126" s="135"/>
      <c r="K126" s="136"/>
      <c r="L126" s="136"/>
      <c r="M126" s="136"/>
      <c r="N126" s="134"/>
      <c r="O126" s="53"/>
      <c r="P126" s="135"/>
      <c r="Q126" s="135"/>
      <c r="R126" s="135"/>
      <c r="T126" s="88"/>
      <c r="U126" s="53"/>
      <c r="AG126" s="82"/>
      <c r="CL126" s="40"/>
      <c r="CN126" s="40"/>
      <c r="CQ126" s="40"/>
    </row>
    <row r="127" spans="1:95" ht="8.25" customHeight="1" x14ac:dyDescent="0.15">
      <c r="B127" s="55"/>
      <c r="C127" s="106"/>
      <c r="D127" s="137"/>
      <c r="E127" s="106"/>
      <c r="F127" s="137"/>
      <c r="G127" s="106"/>
      <c r="H127" s="137"/>
      <c r="I127" s="106"/>
      <c r="J127" s="137"/>
      <c r="K127" s="106"/>
      <c r="L127" s="137"/>
      <c r="M127" s="106"/>
      <c r="N127" s="137"/>
      <c r="O127" s="106"/>
      <c r="P127" s="137"/>
      <c r="Q127" s="106"/>
      <c r="R127" s="137"/>
      <c r="S127" s="106"/>
      <c r="T127" s="138"/>
      <c r="U127" s="217"/>
      <c r="AG127" s="82"/>
      <c r="CL127" s="40"/>
      <c r="CN127" s="40"/>
      <c r="CQ127" s="40"/>
    </row>
    <row r="128" spans="1:95" ht="8.25" customHeight="1" x14ac:dyDescent="0.15">
      <c r="B128" s="55"/>
      <c r="C128" s="103"/>
      <c r="D128" s="134"/>
      <c r="E128" s="53"/>
      <c r="F128" s="135"/>
      <c r="G128" s="136"/>
      <c r="H128" s="134"/>
      <c r="I128" s="53"/>
      <c r="J128" s="135"/>
      <c r="K128" s="136"/>
      <c r="L128" s="136"/>
      <c r="M128" s="136"/>
      <c r="N128" s="134"/>
      <c r="O128" s="53"/>
      <c r="P128" s="135"/>
      <c r="T128" s="53"/>
      <c r="U128" s="53"/>
      <c r="AG128" s="82"/>
      <c r="CL128" s="40"/>
      <c r="CN128" s="40"/>
      <c r="CQ128" s="40"/>
    </row>
    <row r="129" spans="1:95" ht="8.25" customHeight="1" x14ac:dyDescent="0.15">
      <c r="B129" s="55"/>
      <c r="C129" s="103"/>
      <c r="D129" s="135"/>
      <c r="E129" s="53"/>
      <c r="F129" s="135"/>
      <c r="G129" s="53"/>
      <c r="H129" s="135"/>
      <c r="I129" s="53"/>
      <c r="J129" s="135"/>
      <c r="K129" s="53"/>
      <c r="L129" s="53"/>
      <c r="M129" s="53"/>
      <c r="N129" s="53"/>
      <c r="O129" s="53"/>
      <c r="P129" s="135"/>
      <c r="T129" s="53"/>
      <c r="U129" s="53"/>
      <c r="AG129" s="82"/>
      <c r="CL129" s="40"/>
      <c r="CN129" s="40"/>
      <c r="CQ129" s="40"/>
    </row>
    <row r="130" spans="1:95" ht="8.25" customHeight="1" x14ac:dyDescent="0.15">
      <c r="B130" s="79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 t="s">
        <v>108</v>
      </c>
      <c r="U130" s="210"/>
      <c r="AG130" s="82"/>
      <c r="CL130" s="40"/>
      <c r="CN130" s="40"/>
      <c r="CQ130" s="40"/>
    </row>
    <row r="131" spans="1:95" ht="8.25" customHeight="1" x14ac:dyDescent="0.15">
      <c r="A131" s="81">
        <v>1</v>
      </c>
      <c r="B131" s="74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 t="str">
        <f t="shared" ref="T131:T140" si="176">IF($L51="","",IF($L51=4,+$T51,""))</f>
        <v/>
      </c>
      <c r="U131" s="150"/>
      <c r="AG131" s="82"/>
      <c r="CL131" s="40"/>
      <c r="CN131" s="40"/>
      <c r="CQ131" s="40"/>
    </row>
    <row r="132" spans="1:95" ht="8.25" customHeight="1" x14ac:dyDescent="0.15">
      <c r="A132" s="81">
        <v>2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 t="str">
        <f t="shared" si="176"/>
        <v/>
      </c>
      <c r="U132" s="150"/>
      <c r="AG132" s="82"/>
      <c r="CL132" s="40"/>
      <c r="CN132" s="40"/>
      <c r="CQ132" s="40"/>
    </row>
    <row r="133" spans="1:95" ht="8.25" customHeight="1" x14ac:dyDescent="0.15">
      <c r="A133" s="81">
        <v>3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 t="str">
        <f t="shared" si="176"/>
        <v/>
      </c>
      <c r="U133" s="150"/>
      <c r="X133" s="82"/>
      <c r="Y133" s="82"/>
      <c r="Z133" s="82"/>
      <c r="AG133" s="82"/>
      <c r="CL133" s="40"/>
      <c r="CN133" s="40"/>
      <c r="CQ133" s="40"/>
    </row>
    <row r="134" spans="1:95" ht="8.25" customHeight="1" x14ac:dyDescent="0.15">
      <c r="A134" s="81">
        <v>4</v>
      </c>
      <c r="B134" s="80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 t="str">
        <f t="shared" si="176"/>
        <v/>
      </c>
      <c r="U134" s="150"/>
      <c r="X134" s="82"/>
      <c r="Y134" s="82"/>
      <c r="Z134" s="82"/>
      <c r="AG134" s="82"/>
      <c r="CL134" s="40"/>
      <c r="CN134" s="40"/>
      <c r="CQ134" s="40"/>
    </row>
    <row r="135" spans="1:95" ht="8.25" customHeight="1" x14ac:dyDescent="0.15">
      <c r="A135" s="81">
        <v>5</v>
      </c>
      <c r="B135" s="80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 t="str">
        <f t="shared" si="176"/>
        <v/>
      </c>
      <c r="U135" s="150"/>
      <c r="X135" s="82"/>
      <c r="Y135" s="82"/>
      <c r="Z135" s="82"/>
      <c r="AG135" s="82"/>
      <c r="CL135" s="40"/>
      <c r="CN135" s="40"/>
      <c r="CQ135" s="40"/>
    </row>
    <row r="136" spans="1:95" ht="8.25" customHeight="1" x14ac:dyDescent="0.15">
      <c r="A136" s="81">
        <v>6</v>
      </c>
      <c r="B136" s="80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 t="str">
        <f t="shared" si="176"/>
        <v/>
      </c>
      <c r="U136" s="150"/>
      <c r="X136" s="91"/>
      <c r="Y136" s="91"/>
      <c r="Z136" s="91"/>
      <c r="AA136" s="139"/>
      <c r="AB136" s="139"/>
      <c r="AC136" s="139"/>
      <c r="AD136" s="139"/>
      <c r="AE136" s="139"/>
      <c r="AF136" s="139"/>
      <c r="AG136" s="91"/>
      <c r="AH136" s="139"/>
      <c r="AI136" s="140"/>
      <c r="AJ136" s="140"/>
      <c r="CL136" s="40"/>
      <c r="CN136" s="40"/>
      <c r="CQ136" s="40"/>
    </row>
    <row r="137" spans="1:95" ht="8.25" customHeight="1" x14ac:dyDescent="0.15">
      <c r="A137" s="81">
        <v>7</v>
      </c>
      <c r="B137" s="80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 t="str">
        <f t="shared" si="176"/>
        <v/>
      </c>
      <c r="U137" s="150"/>
      <c r="X137" s="91"/>
      <c r="Y137" s="91"/>
      <c r="Z137" s="91"/>
      <c r="AA137" s="139"/>
      <c r="AB137" s="139"/>
      <c r="AC137" s="139"/>
      <c r="AD137" s="139"/>
      <c r="AE137" s="139"/>
      <c r="AF137" s="139"/>
      <c r="AG137" s="91"/>
      <c r="AH137" s="139"/>
      <c r="AI137" s="140"/>
      <c r="AJ137" s="140"/>
      <c r="CL137" s="40"/>
      <c r="CN137" s="40"/>
      <c r="CQ137" s="40"/>
    </row>
    <row r="138" spans="1:95" ht="8.25" customHeight="1" x14ac:dyDescent="0.15">
      <c r="A138" s="81">
        <v>8</v>
      </c>
      <c r="B138" s="80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 t="str">
        <f t="shared" si="176"/>
        <v/>
      </c>
      <c r="U138" s="150"/>
      <c r="X138" s="91"/>
      <c r="Y138" s="91"/>
      <c r="Z138" s="91"/>
      <c r="AA138" s="139"/>
      <c r="AB138" s="139"/>
      <c r="AC138" s="139"/>
      <c r="AD138" s="139"/>
      <c r="AE138" s="139"/>
      <c r="AF138" s="139"/>
      <c r="AG138" s="91"/>
      <c r="AH138" s="139"/>
      <c r="AI138" s="140"/>
      <c r="AJ138" s="140"/>
      <c r="CL138" s="40"/>
      <c r="CN138" s="40"/>
      <c r="CQ138" s="40"/>
    </row>
    <row r="139" spans="1:95" ht="8.25" customHeight="1" x14ac:dyDescent="0.15">
      <c r="A139" s="81">
        <v>9</v>
      </c>
      <c r="B139" s="80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 t="str">
        <f t="shared" si="176"/>
        <v/>
      </c>
      <c r="U139" s="150"/>
      <c r="X139" s="91"/>
      <c r="Y139" s="91"/>
      <c r="Z139" s="91"/>
      <c r="AA139" s="139"/>
      <c r="AB139" s="139"/>
      <c r="AC139" s="139"/>
      <c r="AD139" s="139"/>
      <c r="AE139" s="139"/>
      <c r="AF139" s="139"/>
      <c r="AG139" s="91"/>
      <c r="AH139" s="139"/>
      <c r="AI139" s="140"/>
      <c r="AJ139" s="140"/>
      <c r="CL139" s="40"/>
      <c r="CN139" s="40"/>
      <c r="CQ139" s="40"/>
    </row>
    <row r="140" spans="1:95" ht="8.25" customHeight="1" x14ac:dyDescent="0.15">
      <c r="A140" s="81">
        <v>10</v>
      </c>
      <c r="B140" s="80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 t="str">
        <f t="shared" si="176"/>
        <v/>
      </c>
      <c r="U140" s="150"/>
      <c r="X140" s="91"/>
      <c r="Y140" s="91"/>
      <c r="Z140" s="91"/>
      <c r="AA140" s="139"/>
      <c r="AB140" s="139"/>
      <c r="AC140" s="139"/>
      <c r="AD140" s="139"/>
      <c r="AE140" s="139"/>
      <c r="AF140" s="139"/>
      <c r="AG140" s="91"/>
      <c r="AH140" s="139"/>
      <c r="AI140" s="140"/>
      <c r="AJ140" s="140"/>
      <c r="CL140" s="40"/>
      <c r="CN140" s="40"/>
      <c r="CQ140" s="40"/>
    </row>
    <row r="141" spans="1:95" ht="8.25" customHeight="1" x14ac:dyDescent="0.15">
      <c r="B141" s="41"/>
      <c r="C141" s="136"/>
      <c r="D141" s="81"/>
      <c r="X141" s="91"/>
      <c r="Y141" s="91"/>
      <c r="Z141" s="91"/>
      <c r="AA141" s="139"/>
      <c r="AB141" s="139"/>
      <c r="AC141" s="139"/>
      <c r="AD141" s="139"/>
      <c r="AE141" s="139"/>
      <c r="AF141" s="139"/>
      <c r="AG141" s="91"/>
      <c r="AH141" s="139"/>
      <c r="AI141" s="140"/>
      <c r="AJ141" s="140"/>
      <c r="CL141" s="40"/>
      <c r="CN141" s="40"/>
      <c r="CQ141" s="40"/>
    </row>
    <row r="142" spans="1:95" ht="8.25" customHeight="1" x14ac:dyDescent="0.15">
      <c r="B142" s="41"/>
      <c r="C142" s="106"/>
      <c r="D142" s="137"/>
      <c r="E142" s="106"/>
      <c r="F142" s="137"/>
      <c r="G142" s="106"/>
      <c r="H142" s="137"/>
      <c r="I142" s="106"/>
      <c r="J142" s="137"/>
      <c r="K142" s="106"/>
      <c r="L142" s="137"/>
      <c r="M142" s="106"/>
      <c r="N142" s="137"/>
      <c r="O142" s="106"/>
      <c r="P142" s="137"/>
      <c r="Q142" s="106"/>
      <c r="R142" s="137"/>
      <c r="S142" s="106"/>
      <c r="T142" s="82"/>
      <c r="U142" s="82"/>
      <c r="V142" s="82"/>
      <c r="W142" s="82"/>
      <c r="X142" s="82"/>
      <c r="Y142" s="82"/>
      <c r="Z142" s="82"/>
      <c r="AG142" s="82"/>
    </row>
    <row r="143" spans="1:95" ht="8.25" customHeight="1" x14ac:dyDescent="0.15">
      <c r="C143" s="55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P143" s="40"/>
      <c r="Q143" s="91"/>
      <c r="R143" s="91"/>
      <c r="S143" s="91"/>
      <c r="T143" s="91"/>
      <c r="U143" s="91"/>
      <c r="V143" s="91"/>
      <c r="W143" s="91"/>
      <c r="AG143" s="82"/>
    </row>
    <row r="144" spans="1:95" ht="8.25" customHeight="1" x14ac:dyDescent="0.15"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91"/>
      <c r="R144" s="91"/>
      <c r="S144" s="91"/>
      <c r="T144" s="91"/>
      <c r="U144" s="91"/>
      <c r="V144" s="91"/>
      <c r="W144" s="91"/>
      <c r="AG144" s="82"/>
    </row>
    <row r="145" spans="5:33" ht="8.25" customHeight="1" x14ac:dyDescent="0.15">
      <c r="E145" s="40"/>
      <c r="F145" s="40"/>
      <c r="G145" s="40"/>
      <c r="H145" s="40"/>
      <c r="I145" s="40"/>
      <c r="J145" s="40"/>
      <c r="K145" s="40"/>
      <c r="L145" s="40"/>
      <c r="M145" s="40"/>
      <c r="N145" s="141"/>
      <c r="P145" s="142"/>
      <c r="Q145" s="91"/>
      <c r="R145" s="91"/>
      <c r="S145" s="91"/>
      <c r="T145" s="91"/>
      <c r="U145" s="91"/>
      <c r="V145" s="91"/>
      <c r="W145" s="91"/>
      <c r="AG145" s="82"/>
    </row>
    <row r="146" spans="5:33" ht="8.25" customHeight="1" x14ac:dyDescent="0.15">
      <c r="E146" s="40"/>
      <c r="F146" s="40"/>
      <c r="G146" s="40"/>
      <c r="H146" s="40"/>
      <c r="I146" s="40"/>
      <c r="J146" s="40"/>
      <c r="K146" s="40"/>
      <c r="L146" s="40"/>
      <c r="M146" s="40"/>
      <c r="N146" s="143"/>
      <c r="O146" s="40"/>
      <c r="P146" s="142"/>
      <c r="Q146" s="144"/>
      <c r="R146" s="144"/>
      <c r="S146" s="144"/>
      <c r="T146" s="82"/>
      <c r="U146" s="82"/>
      <c r="V146" s="91"/>
      <c r="W146" s="91"/>
      <c r="AG146" s="82"/>
    </row>
    <row r="147" spans="5:33" ht="8.25" customHeight="1" x14ac:dyDescent="0.15"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AG147" s="82"/>
    </row>
    <row r="148" spans="5:33" ht="8.25" customHeight="1" x14ac:dyDescent="0.15"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AG148" s="82"/>
    </row>
    <row r="149" spans="5:33" ht="8.25" customHeight="1" x14ac:dyDescent="0.15"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AG149" s="82"/>
    </row>
    <row r="150" spans="5:33" ht="8.25" customHeight="1" x14ac:dyDescent="0.15"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AG150" s="82"/>
    </row>
    <row r="151" spans="5:33" ht="8.25" customHeight="1" x14ac:dyDescent="0.15"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AG151" s="82"/>
    </row>
    <row r="152" spans="5:33" ht="8.25" customHeight="1" x14ac:dyDescent="0.15">
      <c r="F152" s="40"/>
      <c r="G152" s="40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AG152" s="82"/>
    </row>
    <row r="153" spans="5:33" ht="8.25" customHeight="1" x14ac:dyDescent="0.15">
      <c r="F153" s="40"/>
      <c r="G153" s="40"/>
      <c r="N153" s="41"/>
      <c r="O153" s="146"/>
      <c r="P153" s="146"/>
      <c r="Q153" s="146"/>
      <c r="R153" s="146"/>
      <c r="S153" s="146"/>
      <c r="T153" s="41"/>
      <c r="U153" s="41"/>
      <c r="V153" s="41"/>
      <c r="W153" s="41"/>
      <c r="AG153" s="82"/>
    </row>
    <row r="154" spans="5:33" ht="8.25" customHeight="1" x14ac:dyDescent="0.15">
      <c r="F154" s="40"/>
      <c r="G154" s="147"/>
      <c r="N154" s="41"/>
      <c r="O154" s="50"/>
      <c r="P154" s="148"/>
      <c r="Q154" s="148"/>
      <c r="R154" s="148"/>
      <c r="S154" s="148"/>
      <c r="T154" s="41"/>
      <c r="U154" s="41"/>
      <c r="V154" s="41"/>
      <c r="W154" s="41"/>
      <c r="AG154" s="82"/>
    </row>
    <row r="155" spans="5:33" ht="8.25" customHeight="1" x14ac:dyDescent="0.15">
      <c r="F155" s="40"/>
      <c r="G155" s="40"/>
      <c r="N155" s="41"/>
      <c r="O155" s="50"/>
      <c r="P155" s="149"/>
      <c r="Q155" s="149"/>
      <c r="R155" s="149"/>
      <c r="S155" s="149"/>
      <c r="T155" s="41"/>
      <c r="U155" s="41"/>
      <c r="V155" s="41"/>
      <c r="W155" s="41"/>
      <c r="AG155" s="82"/>
    </row>
    <row r="156" spans="5:33" ht="8.25" customHeight="1" x14ac:dyDescent="0.15"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AG156" s="82"/>
    </row>
    <row r="157" spans="5:33" ht="8.25" customHeight="1" x14ac:dyDescent="0.15"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AG157" s="82"/>
    </row>
    <row r="158" spans="5:33" ht="8.25" customHeight="1" x14ac:dyDescent="0.15">
      <c r="F158" s="105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AG158" s="82"/>
    </row>
    <row r="159" spans="5:33" ht="8.25" customHeight="1" x14ac:dyDescent="0.15">
      <c r="N159" s="41"/>
      <c r="O159" s="146"/>
      <c r="P159" s="146"/>
      <c r="Q159" s="146"/>
      <c r="R159" s="146"/>
      <c r="S159" s="146"/>
      <c r="T159" s="146"/>
      <c r="U159" s="146"/>
      <c r="V159" s="146"/>
      <c r="W159" s="41"/>
      <c r="AG159" s="82"/>
    </row>
    <row r="160" spans="5:33" ht="8.25" customHeight="1" x14ac:dyDescent="0.15">
      <c r="N160" s="41"/>
      <c r="O160" s="50"/>
      <c r="P160" s="50"/>
      <c r="Q160" s="50"/>
      <c r="R160" s="50"/>
      <c r="S160" s="50"/>
      <c r="T160" s="50"/>
      <c r="U160" s="50"/>
      <c r="V160" s="50"/>
      <c r="W160" s="41"/>
      <c r="AG160" s="82"/>
    </row>
    <row r="161" spans="14:33" ht="8.25" customHeight="1" x14ac:dyDescent="0.15">
      <c r="N161" s="41"/>
      <c r="O161" s="50"/>
      <c r="P161" s="50"/>
      <c r="Q161" s="50"/>
      <c r="R161" s="50"/>
      <c r="S161" s="50"/>
      <c r="T161" s="50"/>
      <c r="U161" s="50"/>
      <c r="V161" s="50"/>
      <c r="W161" s="41"/>
      <c r="AG161" s="82"/>
    </row>
    <row r="162" spans="14:33" ht="8.25" customHeight="1" x14ac:dyDescent="0.15">
      <c r="N162" s="41"/>
      <c r="O162" s="50"/>
      <c r="P162" s="50"/>
      <c r="Q162" s="50"/>
      <c r="R162" s="50"/>
      <c r="S162" s="50"/>
      <c r="T162" s="50"/>
      <c r="U162" s="50"/>
      <c r="V162" s="50"/>
      <c r="W162" s="41"/>
      <c r="AG162" s="82"/>
    </row>
    <row r="163" spans="14:33" ht="8.25" customHeight="1" x14ac:dyDescent="0.15">
      <c r="N163" s="41"/>
      <c r="O163" s="50"/>
      <c r="P163" s="50"/>
      <c r="Q163" s="50"/>
      <c r="R163" s="50"/>
      <c r="S163" s="50"/>
      <c r="T163" s="50"/>
      <c r="U163" s="50"/>
      <c r="V163" s="50"/>
      <c r="W163" s="41"/>
      <c r="AG163" s="82"/>
    </row>
    <row r="164" spans="14:33" ht="8.25" customHeight="1" x14ac:dyDescent="0.15"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AG164" s="82"/>
    </row>
    <row r="165" spans="14:33" ht="8.25" customHeight="1" x14ac:dyDescent="0.15"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AG165" s="82"/>
    </row>
    <row r="166" spans="14:33" ht="8.25" customHeight="1" x14ac:dyDescent="0.15"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AG166" s="82"/>
    </row>
    <row r="167" spans="14:33" ht="8.25" customHeight="1" x14ac:dyDescent="0.15"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AG167" s="82"/>
    </row>
    <row r="168" spans="14:33" ht="8.25" customHeight="1" x14ac:dyDescent="0.15">
      <c r="N168" s="41"/>
      <c r="O168" s="146"/>
      <c r="P168" s="146"/>
      <c r="Q168" s="146"/>
      <c r="R168" s="146"/>
      <c r="S168" s="146"/>
      <c r="T168" s="41"/>
      <c r="U168" s="41"/>
      <c r="V168" s="41"/>
      <c r="W168" s="41"/>
      <c r="AG168" s="82"/>
    </row>
    <row r="169" spans="14:33" ht="8.25" customHeight="1" x14ac:dyDescent="0.15">
      <c r="N169" s="41"/>
      <c r="O169" s="50"/>
      <c r="P169" s="50"/>
      <c r="Q169" s="50"/>
      <c r="R169" s="50"/>
      <c r="S169" s="50"/>
      <c r="T169" s="41"/>
      <c r="U169" s="41"/>
      <c r="V169" s="41"/>
      <c r="W169" s="41"/>
      <c r="AG169" s="82"/>
    </row>
    <row r="170" spans="14:33" ht="8.25" customHeight="1" x14ac:dyDescent="0.15">
      <c r="N170" s="41"/>
      <c r="O170" s="50"/>
      <c r="P170" s="50"/>
      <c r="Q170" s="50"/>
      <c r="R170" s="50"/>
      <c r="S170" s="50"/>
      <c r="T170" s="41"/>
      <c r="U170" s="41"/>
      <c r="V170" s="41"/>
      <c r="W170" s="41"/>
      <c r="AG170" s="82"/>
    </row>
    <row r="171" spans="14:33" ht="8.25" customHeight="1" x14ac:dyDescent="0.15"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AG171" s="82"/>
    </row>
    <row r="172" spans="14:33" ht="8.25" customHeight="1" x14ac:dyDescent="0.15"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AG172" s="82"/>
    </row>
    <row r="173" spans="14:33" ht="8.25" customHeight="1" x14ac:dyDescent="0.15"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AG173" s="82"/>
    </row>
    <row r="174" spans="14:33" ht="8.25" customHeight="1" x14ac:dyDescent="0.15">
      <c r="N174" s="41"/>
      <c r="O174" s="146"/>
      <c r="P174" s="146"/>
      <c r="Q174" s="146"/>
      <c r="R174" s="146"/>
      <c r="S174" s="146"/>
      <c r="T174" s="146"/>
      <c r="U174" s="146"/>
      <c r="V174" s="146"/>
      <c r="W174" s="41"/>
      <c r="AG174" s="82"/>
    </row>
    <row r="175" spans="14:33" ht="8.25" customHeight="1" x14ac:dyDescent="0.15">
      <c r="N175" s="41"/>
      <c r="O175" s="50"/>
      <c r="P175" s="50"/>
      <c r="Q175" s="50"/>
      <c r="R175" s="50"/>
      <c r="S175" s="50"/>
      <c r="T175" s="50"/>
      <c r="U175" s="50"/>
      <c r="V175" s="50"/>
      <c r="W175" s="41"/>
      <c r="AG175" s="82"/>
    </row>
    <row r="176" spans="14:33" ht="8.25" customHeight="1" x14ac:dyDescent="0.15">
      <c r="N176" s="41"/>
      <c r="O176" s="50"/>
      <c r="P176" s="50"/>
      <c r="Q176" s="50"/>
      <c r="R176" s="50"/>
      <c r="S176" s="50"/>
      <c r="T176" s="50"/>
      <c r="U176" s="50"/>
      <c r="V176" s="50"/>
      <c r="W176" s="41"/>
      <c r="AG176" s="82"/>
    </row>
    <row r="177" spans="5:33" ht="8.25" customHeight="1" x14ac:dyDescent="0.15">
      <c r="N177" s="41"/>
      <c r="O177" s="50"/>
      <c r="P177" s="50"/>
      <c r="Q177" s="50"/>
      <c r="R177" s="50"/>
      <c r="S177" s="50"/>
      <c r="T177" s="50"/>
      <c r="U177" s="50"/>
      <c r="V177" s="50"/>
      <c r="W177" s="41"/>
      <c r="AG177" s="82"/>
    </row>
    <row r="178" spans="5:33" ht="8.25" customHeight="1" x14ac:dyDescent="0.15">
      <c r="N178" s="41"/>
      <c r="O178" s="50"/>
      <c r="P178" s="50"/>
      <c r="Q178" s="50"/>
      <c r="R178" s="50"/>
      <c r="S178" s="50"/>
      <c r="T178" s="50"/>
      <c r="U178" s="50"/>
      <c r="V178" s="50"/>
      <c r="W178" s="41"/>
      <c r="AG178" s="82"/>
    </row>
    <row r="179" spans="5:33" ht="8.25" customHeight="1" x14ac:dyDescent="0.15"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AG179" s="82"/>
    </row>
    <row r="180" spans="5:33" ht="8.25" customHeight="1" x14ac:dyDescent="0.15"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AG180" s="82"/>
    </row>
    <row r="181" spans="5:33" ht="8.25" customHeight="1" x14ac:dyDescent="0.15"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AG181" s="82"/>
    </row>
    <row r="182" spans="5:33" ht="8.25" customHeight="1" x14ac:dyDescent="0.15">
      <c r="E182" s="81" t="s">
        <v>13</v>
      </c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AG182" s="82"/>
    </row>
    <row r="183" spans="5:33" ht="8.25" customHeight="1" x14ac:dyDescent="0.15">
      <c r="E183" s="81" t="s">
        <v>14</v>
      </c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AG183" s="82"/>
    </row>
    <row r="184" spans="5:33" ht="8.25" customHeight="1" x14ac:dyDescent="0.15"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AG184" s="82"/>
    </row>
    <row r="185" spans="5:33" ht="8.25" customHeight="1" x14ac:dyDescent="0.15"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AG185" s="82"/>
    </row>
    <row r="186" spans="5:33" ht="8.25" customHeight="1" x14ac:dyDescent="0.15"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AG186" s="82"/>
    </row>
    <row r="187" spans="5:33" ht="8.25" customHeight="1" x14ac:dyDescent="0.15">
      <c r="N187" s="53"/>
      <c r="O187" s="53"/>
      <c r="P187" s="53"/>
      <c r="Q187" s="53"/>
      <c r="R187" s="53"/>
      <c r="S187" s="53"/>
      <c r="T187" s="53"/>
      <c r="U187" s="53"/>
      <c r="V187" s="53"/>
      <c r="W187" s="41"/>
      <c r="AG187" s="82"/>
    </row>
    <row r="188" spans="5:33" ht="8.25" customHeight="1" x14ac:dyDescent="0.15"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AG188" s="82"/>
    </row>
    <row r="189" spans="5:33" ht="8.25" customHeight="1" x14ac:dyDescent="0.15"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AG189" s="82"/>
    </row>
    <row r="190" spans="5:33" ht="8.25" customHeight="1" x14ac:dyDescent="0.15"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AG190" s="82"/>
    </row>
    <row r="191" spans="5:33" ht="8.25" customHeight="1" x14ac:dyDescent="0.15">
      <c r="N191" s="53"/>
      <c r="O191" s="53"/>
      <c r="P191" s="53"/>
      <c r="Q191" s="53"/>
      <c r="R191" s="53"/>
      <c r="S191" s="53"/>
      <c r="T191" s="53"/>
      <c r="U191" s="53"/>
      <c r="V191" s="53"/>
      <c r="W191" s="53"/>
    </row>
    <row r="192" spans="5:33" ht="8.25" customHeight="1" x14ac:dyDescent="0.15">
      <c r="N192" s="53"/>
      <c r="O192" s="53"/>
      <c r="P192" s="53"/>
      <c r="Q192" s="53"/>
      <c r="R192" s="53"/>
      <c r="S192" s="53"/>
      <c r="T192" s="53"/>
      <c r="U192" s="53"/>
      <c r="V192" s="53"/>
      <c r="W192" s="53"/>
    </row>
    <row r="193" spans="14:23" ht="8.25" customHeight="1" x14ac:dyDescent="0.15">
      <c r="N193" s="53"/>
      <c r="O193" s="53"/>
      <c r="P193" s="53"/>
      <c r="Q193" s="53"/>
      <c r="R193" s="53"/>
      <c r="S193" s="53"/>
      <c r="T193" s="53"/>
      <c r="U193" s="53"/>
      <c r="V193" s="53"/>
      <c r="W193" s="53"/>
    </row>
    <row r="194" spans="14:23" ht="8.25" customHeight="1" x14ac:dyDescent="0.15">
      <c r="N194" s="53"/>
      <c r="O194" s="53"/>
      <c r="P194" s="53"/>
      <c r="Q194" s="53"/>
      <c r="R194" s="53"/>
      <c r="S194" s="53"/>
      <c r="T194" s="53"/>
      <c r="U194" s="53"/>
      <c r="V194" s="53"/>
      <c r="W194" s="53"/>
    </row>
    <row r="195" spans="14:23" ht="8.25" customHeight="1" x14ac:dyDescent="0.15">
      <c r="N195" s="53"/>
      <c r="O195" s="53"/>
      <c r="P195" s="53"/>
      <c r="Q195" s="53"/>
      <c r="R195" s="53"/>
      <c r="S195" s="53"/>
      <c r="T195" s="53"/>
      <c r="U195" s="53"/>
      <c r="V195" s="53"/>
      <c r="W195" s="53"/>
    </row>
    <row r="196" spans="14:23" ht="8.25" customHeight="1" x14ac:dyDescent="0.15">
      <c r="N196" s="53"/>
      <c r="O196" s="53"/>
      <c r="P196" s="53"/>
      <c r="Q196" s="53"/>
      <c r="R196" s="53"/>
      <c r="S196" s="53"/>
      <c r="T196" s="53"/>
      <c r="U196" s="53"/>
      <c r="V196" s="53"/>
      <c r="W196" s="53"/>
    </row>
    <row r="197" spans="14:23" ht="8.25" customHeight="1" x14ac:dyDescent="0.15">
      <c r="N197" s="53"/>
      <c r="O197" s="53"/>
      <c r="P197" s="53"/>
      <c r="Q197" s="53"/>
      <c r="R197" s="53"/>
      <c r="S197" s="53"/>
      <c r="T197" s="53"/>
      <c r="U197" s="53"/>
      <c r="V197" s="53"/>
      <c r="W197" s="53"/>
    </row>
    <row r="198" spans="14:23" ht="8.25" customHeight="1" x14ac:dyDescent="0.15">
      <c r="N198" s="53"/>
      <c r="O198" s="53"/>
      <c r="P198" s="53"/>
      <c r="Q198" s="53"/>
      <c r="R198" s="53"/>
      <c r="S198" s="53"/>
      <c r="T198" s="53"/>
      <c r="U198" s="53"/>
      <c r="V198" s="53"/>
      <c r="W198" s="53"/>
    </row>
    <row r="199" spans="14:23" ht="8.25" customHeight="1" x14ac:dyDescent="0.15">
      <c r="N199" s="53"/>
      <c r="O199" s="53"/>
      <c r="P199" s="53"/>
      <c r="Q199" s="53"/>
      <c r="R199" s="53"/>
      <c r="S199" s="53"/>
      <c r="T199" s="53"/>
      <c r="U199" s="53"/>
      <c r="V199" s="53"/>
      <c r="W199" s="53"/>
    </row>
    <row r="200" spans="14:23" ht="8.25" customHeight="1" x14ac:dyDescent="0.15">
      <c r="N200" s="53"/>
      <c r="O200" s="53"/>
      <c r="P200" s="53"/>
      <c r="Q200" s="53"/>
      <c r="R200" s="53"/>
      <c r="S200" s="53"/>
      <c r="T200" s="53"/>
      <c r="U200" s="53"/>
      <c r="V200" s="53"/>
      <c r="W200" s="53"/>
    </row>
    <row r="201" spans="14:23" ht="8.25" customHeight="1" x14ac:dyDescent="0.15">
      <c r="N201" s="53"/>
      <c r="O201" s="53"/>
      <c r="P201" s="53"/>
      <c r="Q201" s="53"/>
      <c r="R201" s="53"/>
      <c r="S201" s="53"/>
      <c r="T201" s="53"/>
      <c r="U201" s="53"/>
      <c r="V201" s="53"/>
      <c r="W201" s="53"/>
    </row>
  </sheetData>
  <sheetProtection selectLockedCells="1"/>
  <customSheetViews>
    <customSheetView guid="{373B6099-BBFB-4C6F-8508-763C02BEB895}" scale="60" fitToPage="1">
      <selection activeCell="B1" sqref="B1:X1"/>
      <rowBreaks count="1" manualBreakCount="1">
        <brk id="46" min="2" max="22" man="1"/>
      </rowBreaks>
      <pageMargins left="0.7" right="0.7" top="0.75" bottom="0.75" header="0.3" footer="0.3"/>
      <pageSetup scale="48" fitToHeight="0" orientation="landscape"/>
      <headerFooter alignWithMargins="0"/>
    </customSheetView>
  </customSheetViews>
  <mergeCells count="222">
    <mergeCell ref="F46:G46"/>
    <mergeCell ref="B12:C12"/>
    <mergeCell ref="B13:C13"/>
    <mergeCell ref="B14:C14"/>
    <mergeCell ref="E12:F12"/>
    <mergeCell ref="E13:F13"/>
    <mergeCell ref="E14:F14"/>
    <mergeCell ref="CV14:CX14"/>
    <mergeCell ref="CD14:CG14"/>
    <mergeCell ref="CR14:CT14"/>
    <mergeCell ref="CK14:CN14"/>
    <mergeCell ref="BW14:CB14"/>
    <mergeCell ref="F45:G45"/>
    <mergeCell ref="N66:O66"/>
    <mergeCell ref="N67:O67"/>
    <mergeCell ref="B63:E63"/>
    <mergeCell ref="R63:S63"/>
    <mergeCell ref="BB13:BB14"/>
    <mergeCell ref="AV14:AY14"/>
    <mergeCell ref="BC14:BF14"/>
    <mergeCell ref="BJ14:BL14"/>
    <mergeCell ref="CE13:CL13"/>
    <mergeCell ref="BN14:BP14"/>
    <mergeCell ref="Q13:R13"/>
    <mergeCell ref="M14:O14"/>
    <mergeCell ref="Q14:R14"/>
    <mergeCell ref="F37:G37"/>
    <mergeCell ref="F38:G38"/>
    <mergeCell ref="F39:G39"/>
    <mergeCell ref="F40:G40"/>
    <mergeCell ref="F42:G42"/>
    <mergeCell ref="F43:G43"/>
    <mergeCell ref="F50:G50"/>
    <mergeCell ref="F51:G51"/>
    <mergeCell ref="F52:G52"/>
    <mergeCell ref="Y47:Z47"/>
    <mergeCell ref="F44:G44"/>
    <mergeCell ref="AW11:BD11"/>
    <mergeCell ref="AO14:AR14"/>
    <mergeCell ref="X14:Y14"/>
    <mergeCell ref="K11:P11"/>
    <mergeCell ref="F35:G35"/>
    <mergeCell ref="F36:G36"/>
    <mergeCell ref="Q12:R12"/>
    <mergeCell ref="H12:I12"/>
    <mergeCell ref="H13:I13"/>
    <mergeCell ref="H14:I14"/>
    <mergeCell ref="B15:S15"/>
    <mergeCell ref="T15:X15"/>
    <mergeCell ref="Y15:Z15"/>
    <mergeCell ref="AI5:AN8"/>
    <mergeCell ref="B11:D11"/>
    <mergeCell ref="E11:G11"/>
    <mergeCell ref="H11:J11"/>
    <mergeCell ref="Q11:S11"/>
    <mergeCell ref="T11:W11"/>
    <mergeCell ref="X11:Z11"/>
    <mergeCell ref="S10:Z10"/>
    <mergeCell ref="T12:V12"/>
    <mergeCell ref="B10:C10"/>
    <mergeCell ref="D10:J10"/>
    <mergeCell ref="B8:C9"/>
    <mergeCell ref="D8:I9"/>
    <mergeCell ref="J8:K9"/>
    <mergeCell ref="X12:Y12"/>
    <mergeCell ref="E3:I5"/>
    <mergeCell ref="W4:X5"/>
    <mergeCell ref="Y4:Z5"/>
    <mergeCell ref="K12:M13"/>
    <mergeCell ref="W2:Y3"/>
    <mergeCell ref="Z2:Z3"/>
    <mergeCell ref="W6:Z7"/>
    <mergeCell ref="K10:N10"/>
    <mergeCell ref="O10:P10"/>
    <mergeCell ref="Z72:Z73"/>
    <mergeCell ref="K61:M61"/>
    <mergeCell ref="H61:J61"/>
    <mergeCell ref="E61:G61"/>
    <mergeCell ref="B61:D61"/>
    <mergeCell ref="N64:O65"/>
    <mergeCell ref="P64:P65"/>
    <mergeCell ref="Q64:Q65"/>
    <mergeCell ref="E64:E65"/>
    <mergeCell ref="D64:D65"/>
    <mergeCell ref="B64:C65"/>
    <mergeCell ref="L63:M63"/>
    <mergeCell ref="B62:M62"/>
    <mergeCell ref="F63:G63"/>
    <mergeCell ref="H63:J63"/>
    <mergeCell ref="N62:Z62"/>
    <mergeCell ref="N63:Q63"/>
    <mergeCell ref="X61:Z61"/>
    <mergeCell ref="T61:W61"/>
    <mergeCell ref="Q61:S61"/>
    <mergeCell ref="N61:P61"/>
    <mergeCell ref="F64:F68"/>
    <mergeCell ref="G64:L64"/>
    <mergeCell ref="Z63:Z68"/>
    <mergeCell ref="Z84:Z85"/>
    <mergeCell ref="N78:N79"/>
    <mergeCell ref="O78:O79"/>
    <mergeCell ref="P78:P79"/>
    <mergeCell ref="Q78:Q79"/>
    <mergeCell ref="T78:T79"/>
    <mergeCell ref="V78:V79"/>
    <mergeCell ref="W78:W79"/>
    <mergeCell ref="X78:X79"/>
    <mergeCell ref="Y78:Y79"/>
    <mergeCell ref="Z78:Z79"/>
    <mergeCell ref="N84:N85"/>
    <mergeCell ref="O84:O85"/>
    <mergeCell ref="P84:P85"/>
    <mergeCell ref="Q84:Q85"/>
    <mergeCell ref="T84:T85"/>
    <mergeCell ref="V84:V85"/>
    <mergeCell ref="W84:W85"/>
    <mergeCell ref="X84:X85"/>
    <mergeCell ref="Y84:Y85"/>
    <mergeCell ref="H79:I79"/>
    <mergeCell ref="H73:I73"/>
    <mergeCell ref="H85:I85"/>
    <mergeCell ref="B74:E74"/>
    <mergeCell ref="F74:I74"/>
    <mergeCell ref="F80:I80"/>
    <mergeCell ref="B80:E80"/>
    <mergeCell ref="B72:E72"/>
    <mergeCell ref="F72:I72"/>
    <mergeCell ref="B78:E78"/>
    <mergeCell ref="F78:I78"/>
    <mergeCell ref="B84:E84"/>
    <mergeCell ref="F84:I84"/>
    <mergeCell ref="Y92:Z92"/>
    <mergeCell ref="B66:C66"/>
    <mergeCell ref="B67:C67"/>
    <mergeCell ref="B68:C68"/>
    <mergeCell ref="N68:O68"/>
    <mergeCell ref="B86:E86"/>
    <mergeCell ref="F86:I86"/>
    <mergeCell ref="J72:K76"/>
    <mergeCell ref="R72:S76"/>
    <mergeCell ref="B71:Z71"/>
    <mergeCell ref="J78:K82"/>
    <mergeCell ref="J84:K88"/>
    <mergeCell ref="R78:S82"/>
    <mergeCell ref="R84:S88"/>
    <mergeCell ref="B77:Z77"/>
    <mergeCell ref="B83:Z83"/>
    <mergeCell ref="D73:E73"/>
    <mergeCell ref="D79:E79"/>
    <mergeCell ref="D85:E85"/>
    <mergeCell ref="L72:L73"/>
    <mergeCell ref="M72:M73"/>
    <mergeCell ref="L84:L85"/>
    <mergeCell ref="M84:M85"/>
    <mergeCell ref="L78:L79"/>
    <mergeCell ref="B89:C89"/>
    <mergeCell ref="D89:M89"/>
    <mergeCell ref="B90:M90"/>
    <mergeCell ref="B91:M91"/>
    <mergeCell ref="T63:V63"/>
    <mergeCell ref="X63:Y63"/>
    <mergeCell ref="R64:R68"/>
    <mergeCell ref="S64:X64"/>
    <mergeCell ref="X91:Z91"/>
    <mergeCell ref="U91:W91"/>
    <mergeCell ref="N91:T91"/>
    <mergeCell ref="N89:T90"/>
    <mergeCell ref="U89:W90"/>
    <mergeCell ref="X89:Z90"/>
    <mergeCell ref="M78:M79"/>
    <mergeCell ref="V72:V73"/>
    <mergeCell ref="W72:W73"/>
    <mergeCell ref="Q72:Q73"/>
    <mergeCell ref="B75:I76"/>
    <mergeCell ref="B81:I82"/>
    <mergeCell ref="B87:I88"/>
    <mergeCell ref="N72:N73"/>
    <mergeCell ref="O72:O73"/>
    <mergeCell ref="P72:P73"/>
    <mergeCell ref="T72:U7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B69:Z70"/>
    <mergeCell ref="X72:X73"/>
    <mergeCell ref="Y72:Y73"/>
    <mergeCell ref="B49:S49"/>
    <mergeCell ref="Q10:R10"/>
    <mergeCell ref="L8:P9"/>
    <mergeCell ref="Q8:R9"/>
    <mergeCell ref="S8:Z9"/>
    <mergeCell ref="J3:U4"/>
    <mergeCell ref="J5:U5"/>
    <mergeCell ref="T13:V13"/>
    <mergeCell ref="T14:V14"/>
    <mergeCell ref="X13:Y13"/>
    <mergeCell ref="F53:G53"/>
    <mergeCell ref="F54:G54"/>
    <mergeCell ref="F55:G55"/>
    <mergeCell ref="F56:G56"/>
    <mergeCell ref="F57:G57"/>
    <mergeCell ref="F58:G58"/>
    <mergeCell ref="F59:G59"/>
    <mergeCell ref="F60:G60"/>
    <mergeCell ref="B47:X47"/>
    <mergeCell ref="T49:Z49"/>
  </mergeCells>
  <phoneticPr fontId="0" type="noConversion"/>
  <conditionalFormatting sqref="BR43:BR44">
    <cfRule type="expression" dxfId="75" priority="461" stopIfTrue="1">
      <formula>D43&gt;D41</formula>
    </cfRule>
  </conditionalFormatting>
  <conditionalFormatting sqref="BR45:BR46">
    <cfRule type="expression" dxfId="74" priority="471" stopIfTrue="1">
      <formula>D45&gt;D41</formula>
    </cfRule>
  </conditionalFormatting>
  <conditionalFormatting sqref="D73 D79 D85">
    <cfRule type="cellIs" dxfId="73" priority="486" stopIfTrue="1" operator="equal">
      <formula>"Unequal Variance"</formula>
    </cfRule>
    <cfRule type="cellIs" dxfId="72" priority="487" stopIfTrue="1" operator="equal">
      <formula>"Equal Variance"</formula>
    </cfRule>
  </conditionalFormatting>
  <conditionalFormatting sqref="H73">
    <cfRule type="cellIs" dxfId="71" priority="383" stopIfTrue="1" operator="equal">
      <formula>"FAIL"</formula>
    </cfRule>
    <cfRule type="cellIs" dxfId="70" priority="384" stopIfTrue="1" operator="equal">
      <formula>"PASS"</formula>
    </cfRule>
  </conditionalFormatting>
  <conditionalFormatting sqref="H85">
    <cfRule type="cellIs" dxfId="69" priority="187" stopIfTrue="1" operator="equal">
      <formula>"FAIL"</formula>
    </cfRule>
    <cfRule type="cellIs" dxfId="68" priority="188" stopIfTrue="1" operator="equal">
      <formula>"PASS"</formula>
    </cfRule>
  </conditionalFormatting>
  <conditionalFormatting sqref="H79">
    <cfRule type="cellIs" dxfId="67" priority="185" stopIfTrue="1" operator="equal">
      <formula>"FAIL"</formula>
    </cfRule>
    <cfRule type="cellIs" dxfId="66" priority="186" stopIfTrue="1" operator="equal">
      <formula>"PASS"</formula>
    </cfRule>
  </conditionalFormatting>
  <conditionalFormatting sqref="N74:N76">
    <cfRule type="containsText" dxfId="65" priority="178" operator="containsText" text="PASS">
      <formula>NOT(ISERROR(SEARCH("PASS",N74)))</formula>
    </cfRule>
    <cfRule type="containsText" dxfId="64" priority="179" operator="containsText" text="FAIL">
      <formula>NOT(ISERROR(SEARCH("FAIL",N74)))</formula>
    </cfRule>
  </conditionalFormatting>
  <conditionalFormatting sqref="Z82">
    <cfRule type="containsText" dxfId="63" priority="134" operator="containsText" text="&quot;PASS&quot;">
      <formula>NOT(ISERROR(SEARCH("""PASS""",Z82)))</formula>
    </cfRule>
    <cfRule type="containsText" dxfId="62" priority="135" operator="containsText" text="&quot;FAIL&quot;">
      <formula>NOT(ISERROR(SEARCH("""FAIL""",Z82)))</formula>
    </cfRule>
  </conditionalFormatting>
  <conditionalFormatting sqref="Z81">
    <cfRule type="containsText" dxfId="61" priority="96" operator="containsText" text="PASS">
      <formula>NOT(ISERROR(SEARCH("PASS",Z81)))</formula>
    </cfRule>
    <cfRule type="containsText" dxfId="60" priority="97" operator="containsText" text="FAIL">
      <formula>NOT(ISERROR(SEARCH("FAIL",Z81)))</formula>
    </cfRule>
  </conditionalFormatting>
  <conditionalFormatting sqref="N86">
    <cfRule type="containsText" dxfId="59" priority="94" operator="containsText" text="PASS">
      <formula>NOT(ISERROR(SEARCH("PASS",N86)))</formula>
    </cfRule>
    <cfRule type="containsText" dxfId="58" priority="95" operator="containsText" text="FAIL">
      <formula>NOT(ISERROR(SEARCH("FAIL",N86)))</formula>
    </cfRule>
  </conditionalFormatting>
  <conditionalFormatting sqref="N87">
    <cfRule type="containsText" dxfId="57" priority="92" operator="containsText" text="PASS">
      <formula>NOT(ISERROR(SEARCH("PASS",N87)))</formula>
    </cfRule>
    <cfRule type="containsText" dxfId="56" priority="93" operator="containsText" text="FAIL">
      <formula>NOT(ISERROR(SEARCH("FAIL",N87)))</formula>
    </cfRule>
  </conditionalFormatting>
  <conditionalFormatting sqref="N88">
    <cfRule type="containsText" dxfId="55" priority="90" operator="containsText" text="PASS">
      <formula>NOT(ISERROR(SEARCH("PASS",N88)))</formula>
    </cfRule>
    <cfRule type="containsText" dxfId="54" priority="91" operator="containsText" text="FAIL">
      <formula>NOT(ISERROR(SEARCH("FAIL",N88)))</formula>
    </cfRule>
  </conditionalFormatting>
  <conditionalFormatting sqref="Q86">
    <cfRule type="containsText" dxfId="53" priority="88" operator="containsText" text="PASS">
      <formula>NOT(ISERROR(SEARCH("PASS",Q86)))</formula>
    </cfRule>
    <cfRule type="containsText" dxfId="52" priority="89" operator="containsText" text="FAIL">
      <formula>NOT(ISERROR(SEARCH("FAIL",Q86)))</formula>
    </cfRule>
  </conditionalFormatting>
  <conditionalFormatting sqref="Q87">
    <cfRule type="containsText" dxfId="51" priority="86" operator="containsText" text="PASS">
      <formula>NOT(ISERROR(SEARCH("PASS",Q87)))</formula>
    </cfRule>
    <cfRule type="containsText" dxfId="50" priority="87" operator="containsText" text="FAIL">
      <formula>NOT(ISERROR(SEARCH("FAIL",Q87)))</formula>
    </cfRule>
  </conditionalFormatting>
  <conditionalFormatting sqref="W86">
    <cfRule type="containsText" dxfId="49" priority="84" operator="containsText" text="PASS">
      <formula>NOT(ISERROR(SEARCH("PASS",W86)))</formula>
    </cfRule>
    <cfRule type="containsText" dxfId="48" priority="85" operator="containsText" text="FAIL">
      <formula>NOT(ISERROR(SEARCH("FAIL",W86)))</formula>
    </cfRule>
  </conditionalFormatting>
  <conditionalFormatting sqref="W87">
    <cfRule type="containsText" dxfId="47" priority="82" operator="containsText" text="PASS">
      <formula>NOT(ISERROR(SEARCH("PASS",W87)))</formula>
    </cfRule>
    <cfRule type="containsText" dxfId="46" priority="83" operator="containsText" text="FAIL">
      <formula>NOT(ISERROR(SEARCH("FAIL",W87)))</formula>
    </cfRule>
  </conditionalFormatting>
  <conditionalFormatting sqref="W88">
    <cfRule type="containsText" dxfId="45" priority="80" operator="containsText" text="PASS">
      <formula>NOT(ISERROR(SEARCH("PASS",W88)))</formula>
    </cfRule>
    <cfRule type="containsText" dxfId="44" priority="81" operator="containsText" text="FAIL">
      <formula>NOT(ISERROR(SEARCH("FAIL",W88)))</formula>
    </cfRule>
  </conditionalFormatting>
  <conditionalFormatting sqref="Z86">
    <cfRule type="containsText" dxfId="43" priority="78" operator="containsText" text="PASS">
      <formula>NOT(ISERROR(SEARCH("PASS",Z86)))</formula>
    </cfRule>
    <cfRule type="containsText" dxfId="42" priority="79" operator="containsText" text="FAIL">
      <formula>NOT(ISERROR(SEARCH("FAIL",Z86)))</formula>
    </cfRule>
  </conditionalFormatting>
  <conditionalFormatting sqref="Z87">
    <cfRule type="containsText" dxfId="41" priority="76" operator="containsText" text="PASS">
      <formula>NOT(ISERROR(SEARCH("PASS",Z87)))</formula>
    </cfRule>
    <cfRule type="containsText" dxfId="40" priority="77" operator="containsText" text="FAIL">
      <formula>NOT(ISERROR(SEARCH("FAIL",Z87)))</formula>
    </cfRule>
  </conditionalFormatting>
  <conditionalFormatting sqref="Q74:Q76">
    <cfRule type="containsText" dxfId="39" priority="66" operator="containsText" text="PASS">
      <formula>NOT(ISERROR(SEARCH("PASS",Q74)))</formula>
    </cfRule>
    <cfRule type="containsText" dxfId="38" priority="67" operator="containsText" text="FAIL">
      <formula>NOT(ISERROR(SEARCH("FAIL",Q74)))</formula>
    </cfRule>
  </conditionalFormatting>
  <conditionalFormatting sqref="N80:N82">
    <cfRule type="containsText" dxfId="37" priority="64" operator="containsText" text="PASS">
      <formula>NOT(ISERROR(SEARCH("PASS",N80)))</formula>
    </cfRule>
    <cfRule type="containsText" dxfId="36" priority="65" operator="containsText" text="FAIL">
      <formula>NOT(ISERROR(SEARCH("FAIL",N80)))</formula>
    </cfRule>
  </conditionalFormatting>
  <conditionalFormatting sqref="Q80:Q82">
    <cfRule type="containsText" dxfId="35" priority="62" operator="containsText" text="PASS">
      <formula>NOT(ISERROR(SEARCH("PASS",Q80)))</formula>
    </cfRule>
    <cfRule type="containsText" dxfId="34" priority="63" operator="containsText" text="FAIL">
      <formula>NOT(ISERROR(SEARCH("FAIL",Q80)))</formula>
    </cfRule>
  </conditionalFormatting>
  <conditionalFormatting sqref="W74:W76">
    <cfRule type="containsText" dxfId="33" priority="56" operator="containsText" text="PASS">
      <formula>NOT(ISERROR(SEARCH("PASS",W74)))</formula>
    </cfRule>
    <cfRule type="containsText" dxfId="32" priority="57" operator="containsText" text="FAIL">
      <formula>NOT(ISERROR(SEARCH("FAIL",W74)))</formula>
    </cfRule>
  </conditionalFormatting>
  <conditionalFormatting sqref="Z74:Z76">
    <cfRule type="containsText" dxfId="31" priority="54" operator="containsText" text="PASS">
      <formula>NOT(ISERROR(SEARCH("PASS",Z74)))</formula>
    </cfRule>
    <cfRule type="containsText" dxfId="30" priority="55" operator="containsText" text="FAIL">
      <formula>NOT(ISERROR(SEARCH("FAIL",Z74)))</formula>
    </cfRule>
  </conditionalFormatting>
  <conditionalFormatting sqref="W80:W82">
    <cfRule type="containsText" dxfId="29" priority="52" operator="containsText" text="PASS">
      <formula>NOT(ISERROR(SEARCH("PASS",W80)))</formula>
    </cfRule>
    <cfRule type="containsText" dxfId="28" priority="53" operator="containsText" text="FAIL">
      <formula>NOT(ISERROR(SEARCH("FAIL",W80)))</formula>
    </cfRule>
  </conditionalFormatting>
  <conditionalFormatting sqref="Z80">
    <cfRule type="containsText" dxfId="27" priority="46" operator="containsText" text="PASS">
      <formula>NOT(ISERROR(SEARCH("PASS",Z80)))</formula>
    </cfRule>
    <cfRule type="containsText" dxfId="26" priority="47" operator="containsText" text="FAIL">
      <formula>NOT(ISERROR(SEARCH("FAIL",Z80)))</formula>
    </cfRule>
  </conditionalFormatting>
  <conditionalFormatting sqref="W4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13">
    <cfRule type="expression" dxfId="25" priority="589" stopIfTrue="1">
      <formula>$N$12="x"</formula>
    </cfRule>
  </conditionalFormatting>
  <conditionalFormatting sqref="P16 U51:U60">
    <cfRule type="expression" dxfId="24" priority="590">
      <formula>$N$13="x"</formula>
    </cfRule>
  </conditionalFormatting>
  <conditionalFormatting sqref="V50:V60 V17:V46">
    <cfRule type="expression" dxfId="23" priority="598" stopIfTrue="1">
      <formula>+$N$13="X"</formula>
    </cfRule>
  </conditionalFormatting>
  <conditionalFormatting sqref="W17:W46 W50:W60">
    <cfRule type="expression" dxfId="22" priority="600" stopIfTrue="1">
      <formula>$N$13="x"</formula>
    </cfRule>
  </conditionalFormatting>
  <conditionalFormatting sqref="J74:Z76 J72:T72 J73:S73 V72:Z73">
    <cfRule type="expression" dxfId="21" priority="35">
      <formula>$N$13="x"</formula>
    </cfRule>
  </conditionalFormatting>
  <conditionalFormatting sqref="J78:Z82">
    <cfRule type="expression" dxfId="20" priority="34">
      <formula>$N$13="x"</formula>
    </cfRule>
  </conditionalFormatting>
  <conditionalFormatting sqref="J84:Z88">
    <cfRule type="expression" dxfId="19" priority="32">
      <formula>$N$13="x"</formula>
    </cfRule>
  </conditionalFormatting>
  <conditionalFormatting sqref="Z51:Z60">
    <cfRule type="cellIs" dxfId="18" priority="29" stopIfTrue="1" operator="equal">
      <formula>"PASS"</formula>
    </cfRule>
    <cfRule type="cellIs" dxfId="17" priority="30" stopIfTrue="1" operator="equal">
      <formula>"FAIL"</formula>
    </cfRule>
    <cfRule type="cellIs" dxfId="16" priority="31" stopIfTrue="1" operator="equal">
      <formula>"ERR grade"</formula>
    </cfRule>
  </conditionalFormatting>
  <conditionalFormatting sqref="P50">
    <cfRule type="expression" dxfId="15" priority="28">
      <formula>$N$13="x"</formula>
    </cfRule>
  </conditionalFormatting>
  <conditionalFormatting sqref="P41:P46">
    <cfRule type="expression" dxfId="14" priority="27">
      <formula>$N$13="x"</formula>
    </cfRule>
  </conditionalFormatting>
  <conditionalFormatting sqref="Q16">
    <cfRule type="expression" dxfId="13" priority="23" stopIfTrue="1">
      <formula>+$N$13="X"</formula>
    </cfRule>
  </conditionalFormatting>
  <conditionalFormatting sqref="R16">
    <cfRule type="expression" dxfId="12" priority="25" stopIfTrue="1">
      <formula>$N$13="x"</formula>
    </cfRule>
  </conditionalFormatting>
  <conditionalFormatting sqref="Q50">
    <cfRule type="expression" dxfId="11" priority="21" stopIfTrue="1">
      <formula>+$N$13="X"</formula>
    </cfRule>
  </conditionalFormatting>
  <conditionalFormatting sqref="R50">
    <cfRule type="expression" dxfId="10" priority="22" stopIfTrue="1">
      <formula>$N$13="x"</formula>
    </cfRule>
  </conditionalFormatting>
  <conditionalFormatting sqref="P37:P40">
    <cfRule type="expression" dxfId="9" priority="20">
      <formula>$N$13="x"</formula>
    </cfRule>
  </conditionalFormatting>
  <conditionalFormatting sqref="Q51:Q55">
    <cfRule type="expression" dxfId="8" priority="19">
      <formula>$N$13="x"</formula>
    </cfRule>
  </conditionalFormatting>
  <conditionalFormatting sqref="P27:P36">
    <cfRule type="expression" dxfId="7" priority="11">
      <formula>$N$13="x"</formula>
    </cfRule>
  </conditionalFormatting>
  <conditionalFormatting sqref="P17:P26">
    <cfRule type="expression" dxfId="6" priority="9">
      <formula>$N$13="x"</formula>
    </cfRule>
  </conditionalFormatting>
  <conditionalFormatting sqref="P51:P60">
    <cfRule type="expression" dxfId="5" priority="8">
      <formula>$N$13="x"</formula>
    </cfRule>
  </conditionalFormatting>
  <conditionalFormatting sqref="V16">
    <cfRule type="expression" dxfId="4" priority="4" stopIfTrue="1">
      <formula>+$N$13="X"</formula>
    </cfRule>
  </conditionalFormatting>
  <conditionalFormatting sqref="W16">
    <cfRule type="expression" dxfId="3" priority="5" stopIfTrue="1">
      <formula>$N$13="x"</formula>
    </cfRule>
  </conditionalFormatting>
  <conditionalFormatting sqref="Z17:Z46">
    <cfRule type="cellIs" dxfId="2" priority="1" stopIfTrue="1" operator="equal">
      <formula>"PASS"</formula>
    </cfRule>
    <cfRule type="cellIs" dxfId="1" priority="2" stopIfTrue="1" operator="equal">
      <formula>"FAIL"</formula>
    </cfRule>
    <cfRule type="cellIs" dxfId="0" priority="3" stopIfTrue="1" operator="equal">
      <formula>"ERR grade"</formula>
    </cfRule>
  </conditionalFormatting>
  <printOptions horizontalCentered="1" verticalCentered="1"/>
  <pageMargins left="0.25" right="0.25" top="0.25" bottom="0.25" header="0" footer="0"/>
  <pageSetup fitToHeight="0" orientation="landscape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topLeftCell="A22" workbookViewId="0">
      <selection activeCell="F61" sqref="F61"/>
    </sheetView>
  </sheetViews>
  <sheetFormatPr defaultColWidth="8.85546875" defaultRowHeight="12.75" x14ac:dyDescent="0.2"/>
  <sheetData>
    <row r="2" spans="1:2" x14ac:dyDescent="0.2">
      <c r="B2" s="38" t="s">
        <v>46</v>
      </c>
    </row>
    <row r="3" spans="1:2" x14ac:dyDescent="0.2">
      <c r="A3" s="16" t="s">
        <v>87</v>
      </c>
      <c r="B3" s="17">
        <f>+'Entry page'!L63</f>
        <v>0</v>
      </c>
    </row>
    <row r="4" spans="1:2" x14ac:dyDescent="0.2">
      <c r="A4" s="16" t="s">
        <v>88</v>
      </c>
      <c r="B4" s="37" t="str">
        <f>+'Entry page'!G66</f>
        <v>A</v>
      </c>
    </row>
    <row r="5" spans="1:2" x14ac:dyDescent="0.2">
      <c r="A5" s="16" t="s">
        <v>89</v>
      </c>
      <c r="B5" s="37" t="str">
        <f>+'Entry page'!G67</f>
        <v>B</v>
      </c>
    </row>
    <row r="6" spans="1:2" x14ac:dyDescent="0.2">
      <c r="A6" s="16" t="s">
        <v>90</v>
      </c>
      <c r="B6" s="37" t="str">
        <f>+'Entry page'!G68</f>
        <v>C</v>
      </c>
    </row>
    <row r="7" spans="1:2" x14ac:dyDescent="0.2">
      <c r="A7" s="16" t="s">
        <v>91</v>
      </c>
      <c r="B7" s="37">
        <f>+'Entry page'!K66</f>
        <v>0</v>
      </c>
    </row>
    <row r="8" spans="1:2" x14ac:dyDescent="0.2">
      <c r="A8" s="16" t="s">
        <v>92</v>
      </c>
      <c r="B8" s="37">
        <f>+'Entry page'!K67</f>
        <v>0</v>
      </c>
    </row>
    <row r="9" spans="1:2" x14ac:dyDescent="0.2">
      <c r="A9" s="16" t="s">
        <v>93</v>
      </c>
      <c r="B9" s="37">
        <f>+'Entry page'!K68</f>
        <v>0</v>
      </c>
    </row>
    <row r="10" spans="1:2" x14ac:dyDescent="0.2">
      <c r="A10" s="16" t="s">
        <v>94</v>
      </c>
      <c r="B10" s="37">
        <f>+'Entry page'!I66</f>
        <v>0</v>
      </c>
    </row>
    <row r="11" spans="1:2" x14ac:dyDescent="0.2">
      <c r="A11" s="16" t="s">
        <v>95</v>
      </c>
      <c r="B11" s="37">
        <f>+'Entry page'!I67</f>
        <v>0</v>
      </c>
    </row>
    <row r="12" spans="1:2" x14ac:dyDescent="0.2">
      <c r="A12" s="16" t="s">
        <v>96</v>
      </c>
      <c r="B12" s="37">
        <f>+'Entry page'!I68</f>
        <v>0</v>
      </c>
    </row>
    <row r="13" spans="1:2" x14ac:dyDescent="0.2">
      <c r="A13" s="16" t="s">
        <v>97</v>
      </c>
      <c r="B13" s="37">
        <f>+'Entry page'!M66</f>
        <v>0</v>
      </c>
    </row>
    <row r="14" spans="1:2" x14ac:dyDescent="0.2">
      <c r="A14" s="16" t="s">
        <v>98</v>
      </c>
      <c r="B14" s="37" t="str">
        <f>+'Entry page'!M67</f>
        <v>F</v>
      </c>
    </row>
    <row r="15" spans="1:2" x14ac:dyDescent="0.2">
      <c r="A15" s="16" t="s">
        <v>99</v>
      </c>
      <c r="B15" s="37">
        <f>+'Entry page'!M68</f>
        <v>0</v>
      </c>
    </row>
    <row r="17" spans="1:10" x14ac:dyDescent="0.2">
      <c r="A17" s="19" t="s">
        <v>100</v>
      </c>
    </row>
    <row r="18" spans="1:10" x14ac:dyDescent="0.2">
      <c r="A18" s="20"/>
      <c r="B18" s="7"/>
    </row>
    <row r="19" spans="1:10" x14ac:dyDescent="0.2">
      <c r="A19" s="22" t="s">
        <v>101</v>
      </c>
      <c r="B19" s="7">
        <f>+'Entry page'!D67</f>
        <v>0</v>
      </c>
    </row>
    <row r="20" spans="1:10" x14ac:dyDescent="0.2">
      <c r="A20" s="22" t="s">
        <v>102</v>
      </c>
      <c r="B20" s="7">
        <f>+'Entry page'!E67</f>
        <v>0</v>
      </c>
    </row>
    <row r="21" spans="1:10" x14ac:dyDescent="0.2">
      <c r="A21" s="22"/>
    </row>
    <row r="22" spans="1:10" x14ac:dyDescent="0.2">
      <c r="A22" s="22"/>
    </row>
    <row r="24" spans="1:10" ht="15.75" customHeight="1" thickBot="1" x14ac:dyDescent="0.25"/>
    <row r="25" spans="1:10" ht="34.5" customHeight="1" thickBot="1" x14ac:dyDescent="0.3">
      <c r="D25" s="414" t="s">
        <v>78</v>
      </c>
      <c r="E25" s="415"/>
      <c r="F25" s="415"/>
      <c r="G25" s="415"/>
      <c r="H25" s="415"/>
      <c r="I25" s="416"/>
      <c r="J25" s="8"/>
    </row>
    <row r="26" spans="1:10" ht="26.25" thickBot="1" x14ac:dyDescent="0.25">
      <c r="A26" s="21"/>
      <c r="B26" s="417" t="s">
        <v>103</v>
      </c>
      <c r="C26" s="418"/>
      <c r="D26" s="12" t="s">
        <v>79</v>
      </c>
      <c r="E26" s="13" t="s">
        <v>80</v>
      </c>
      <c r="F26" s="13" t="s">
        <v>81</v>
      </c>
      <c r="G26" s="13" t="s">
        <v>82</v>
      </c>
      <c r="H26" s="35" t="s">
        <v>83</v>
      </c>
      <c r="I26" s="14" t="s">
        <v>84</v>
      </c>
      <c r="J26" s="10"/>
    </row>
    <row r="27" spans="1:10" ht="51.75" thickBot="1" x14ac:dyDescent="0.25">
      <c r="A27" s="23" t="s">
        <v>104</v>
      </c>
      <c r="B27" s="23" t="s">
        <v>105</v>
      </c>
      <c r="C27" s="23" t="s">
        <v>106</v>
      </c>
      <c r="D27" s="24"/>
      <c r="E27" s="24"/>
      <c r="F27" s="25"/>
      <c r="G27" s="31"/>
      <c r="H27" s="36"/>
      <c r="I27" s="33" t="s">
        <v>85</v>
      </c>
      <c r="J27" s="9" t="s">
        <v>86</v>
      </c>
    </row>
    <row r="28" spans="1:10" x14ac:dyDescent="0.2">
      <c r="A28" s="26">
        <f>+'Entry page'!C17</f>
        <v>0</v>
      </c>
      <c r="B28" s="27">
        <f>+'Entry page'!M17</f>
        <v>0</v>
      </c>
      <c r="C28" s="27">
        <f>+'Entry page'!N17</f>
        <v>0</v>
      </c>
      <c r="D28" s="28">
        <v>2.5</v>
      </c>
      <c r="E28" s="29">
        <f>+$B$7*EXP(-$B$8*D28)-$B$9</f>
        <v>0</v>
      </c>
      <c r="F28" s="29" t="e">
        <f>+$B$13*EXP(-$B$14*D28)-$B$15</f>
        <v>#VALUE!</v>
      </c>
      <c r="G28" s="34" t="e">
        <f>+(1/$B$5)*LN($B$4/(($B28/$B$19)+$B$6))</f>
        <v>#VALUE!</v>
      </c>
      <c r="H28" s="30" t="e">
        <f>+(1/$B$11)*LN($B$10/(($C28/$B$20)+$B$12))</f>
        <v>#DIV/0!</v>
      </c>
      <c r="I28" s="32" t="str">
        <f>IF(E28=0,"",ROUND(+(G28*F28-H28*E28)/(F28-E28),1))</f>
        <v/>
      </c>
      <c r="J28" s="15"/>
    </row>
    <row r="29" spans="1:10" x14ac:dyDescent="0.2">
      <c r="A29" s="26">
        <f>+'Entry page'!C18</f>
        <v>0</v>
      </c>
      <c r="B29" s="27">
        <f>+'Entry page'!M18</f>
        <v>0</v>
      </c>
      <c r="C29" s="27">
        <f>+'Entry page'!N18</f>
        <v>0</v>
      </c>
      <c r="D29" s="28">
        <v>2.5</v>
      </c>
      <c r="E29" s="29">
        <f t="shared" ref="E29:E57" si="0">+$B$7*EXP(-$B$8*D29)-$B$9</f>
        <v>0</v>
      </c>
      <c r="F29" s="29" t="e">
        <f t="shared" ref="F29:F56" si="1">+$B$13*EXP(-$B$14*D29)-$B$15</f>
        <v>#VALUE!</v>
      </c>
      <c r="G29" s="34" t="e">
        <f t="shared" ref="G29:G57" si="2">+(1/$B$5)*LN($B$4/(($B29/$B$19)+$B$6))</f>
        <v>#VALUE!</v>
      </c>
      <c r="H29" s="30" t="e">
        <f t="shared" ref="H29:H57" si="3">+(1/$B$11)*LN($B$10/(($C29/$B$20)+$B$12))</f>
        <v>#DIV/0!</v>
      </c>
      <c r="I29" s="32" t="str">
        <f t="shared" ref="I29:I57" si="4">IF(E29=0,"",ROUND(+(G29*F29-H29*E29)/(F29-E29),1))</f>
        <v/>
      </c>
      <c r="J29" s="11"/>
    </row>
    <row r="30" spans="1:10" x14ac:dyDescent="0.2">
      <c r="A30" s="26">
        <f>+'Entry page'!C19</f>
        <v>0</v>
      </c>
      <c r="B30" s="27">
        <f>+'Entry page'!M19</f>
        <v>0</v>
      </c>
      <c r="C30" s="27">
        <f>+'Entry page'!N19</f>
        <v>0</v>
      </c>
      <c r="D30" s="28">
        <v>2.5</v>
      </c>
      <c r="E30" s="29">
        <f t="shared" si="0"/>
        <v>0</v>
      </c>
      <c r="F30" s="29" t="e">
        <f t="shared" si="1"/>
        <v>#VALUE!</v>
      </c>
      <c r="G30" s="34" t="e">
        <f t="shared" si="2"/>
        <v>#VALUE!</v>
      </c>
      <c r="H30" s="30" t="e">
        <f t="shared" si="3"/>
        <v>#DIV/0!</v>
      </c>
      <c r="I30" s="32" t="str">
        <f t="shared" si="4"/>
        <v/>
      </c>
      <c r="J30" s="15"/>
    </row>
    <row r="31" spans="1:10" x14ac:dyDescent="0.2">
      <c r="A31" s="26">
        <f>+'Entry page'!C20</f>
        <v>0</v>
      </c>
      <c r="B31" s="27">
        <f>+'Entry page'!M20</f>
        <v>0</v>
      </c>
      <c r="C31" s="27">
        <f>+'Entry page'!N20</f>
        <v>0</v>
      </c>
      <c r="D31" s="28">
        <v>2.5</v>
      </c>
      <c r="E31" s="29">
        <f t="shared" si="0"/>
        <v>0</v>
      </c>
      <c r="F31" s="29" t="e">
        <f t="shared" si="1"/>
        <v>#VALUE!</v>
      </c>
      <c r="G31" s="34" t="e">
        <f t="shared" si="2"/>
        <v>#VALUE!</v>
      </c>
      <c r="H31" s="30" t="e">
        <f t="shared" si="3"/>
        <v>#DIV/0!</v>
      </c>
      <c r="I31" s="32" t="str">
        <f t="shared" si="4"/>
        <v/>
      </c>
      <c r="J31" s="11"/>
    </row>
    <row r="32" spans="1:10" x14ac:dyDescent="0.2">
      <c r="A32" s="26">
        <f>+'Entry page'!C21</f>
        <v>0</v>
      </c>
      <c r="B32" s="27">
        <f>+'Entry page'!M21</f>
        <v>0</v>
      </c>
      <c r="C32" s="27">
        <f>+'Entry page'!N21</f>
        <v>0</v>
      </c>
      <c r="D32" s="28">
        <v>2.5</v>
      </c>
      <c r="E32" s="29">
        <f t="shared" si="0"/>
        <v>0</v>
      </c>
      <c r="F32" s="29" t="e">
        <f t="shared" si="1"/>
        <v>#VALUE!</v>
      </c>
      <c r="G32" s="34" t="e">
        <f t="shared" si="2"/>
        <v>#VALUE!</v>
      </c>
      <c r="H32" s="30" t="e">
        <f t="shared" si="3"/>
        <v>#DIV/0!</v>
      </c>
      <c r="I32" s="32" t="str">
        <f t="shared" si="4"/>
        <v/>
      </c>
      <c r="J32" s="15"/>
    </row>
    <row r="33" spans="1:10" x14ac:dyDescent="0.2">
      <c r="A33" s="26">
        <f>+'Entry page'!C22</f>
        <v>0</v>
      </c>
      <c r="B33" s="27">
        <f>+'Entry page'!M22</f>
        <v>0</v>
      </c>
      <c r="C33" s="27">
        <f>+'Entry page'!N22</f>
        <v>0</v>
      </c>
      <c r="D33" s="28">
        <v>2.5</v>
      </c>
      <c r="E33" s="29">
        <f t="shared" si="0"/>
        <v>0</v>
      </c>
      <c r="F33" s="29" t="e">
        <f t="shared" si="1"/>
        <v>#VALUE!</v>
      </c>
      <c r="G33" s="34" t="e">
        <f t="shared" si="2"/>
        <v>#VALUE!</v>
      </c>
      <c r="H33" s="30" t="e">
        <f t="shared" si="3"/>
        <v>#DIV/0!</v>
      </c>
      <c r="I33" s="32" t="str">
        <f t="shared" si="4"/>
        <v/>
      </c>
      <c r="J33" s="11"/>
    </row>
    <row r="34" spans="1:10" x14ac:dyDescent="0.2">
      <c r="A34" s="26">
        <f>+'Entry page'!C23</f>
        <v>0</v>
      </c>
      <c r="B34" s="27">
        <f>+'Entry page'!M23</f>
        <v>0</v>
      </c>
      <c r="C34" s="27">
        <f>+'Entry page'!N23</f>
        <v>0</v>
      </c>
      <c r="D34" s="28">
        <v>2.5</v>
      </c>
      <c r="E34" s="29">
        <f t="shared" si="0"/>
        <v>0</v>
      </c>
      <c r="F34" s="29" t="e">
        <f t="shared" si="1"/>
        <v>#VALUE!</v>
      </c>
      <c r="G34" s="34" t="e">
        <f t="shared" si="2"/>
        <v>#VALUE!</v>
      </c>
      <c r="H34" s="30" t="e">
        <f t="shared" si="3"/>
        <v>#DIV/0!</v>
      </c>
      <c r="I34" s="32" t="str">
        <f t="shared" si="4"/>
        <v/>
      </c>
      <c r="J34" s="15"/>
    </row>
    <row r="35" spans="1:10" x14ac:dyDescent="0.2">
      <c r="A35" s="26">
        <f>+'Entry page'!C24</f>
        <v>0</v>
      </c>
      <c r="B35" s="27">
        <f>+'Entry page'!M24</f>
        <v>0</v>
      </c>
      <c r="C35" s="27">
        <f>+'Entry page'!N24</f>
        <v>0</v>
      </c>
      <c r="D35" s="28">
        <v>2.5</v>
      </c>
      <c r="E35" s="29">
        <f t="shared" si="0"/>
        <v>0</v>
      </c>
      <c r="F35" s="29" t="e">
        <f t="shared" si="1"/>
        <v>#VALUE!</v>
      </c>
      <c r="G35" s="34" t="e">
        <f t="shared" si="2"/>
        <v>#VALUE!</v>
      </c>
      <c r="H35" s="30" t="e">
        <f t="shared" si="3"/>
        <v>#DIV/0!</v>
      </c>
      <c r="I35" s="32" t="str">
        <f t="shared" si="4"/>
        <v/>
      </c>
      <c r="J35" s="11"/>
    </row>
    <row r="36" spans="1:10" x14ac:dyDescent="0.2">
      <c r="A36" s="26">
        <f>+'Entry page'!C25</f>
        <v>0</v>
      </c>
      <c r="B36" s="27">
        <f>+'Entry page'!M25</f>
        <v>0</v>
      </c>
      <c r="C36" s="27">
        <f>+'Entry page'!N25</f>
        <v>0</v>
      </c>
      <c r="D36" s="28">
        <v>2.5</v>
      </c>
      <c r="E36" s="29">
        <f t="shared" si="0"/>
        <v>0</v>
      </c>
      <c r="F36" s="29" t="e">
        <f t="shared" si="1"/>
        <v>#VALUE!</v>
      </c>
      <c r="G36" s="34" t="e">
        <f t="shared" si="2"/>
        <v>#VALUE!</v>
      </c>
      <c r="H36" s="30" t="e">
        <f t="shared" si="3"/>
        <v>#DIV/0!</v>
      </c>
      <c r="I36" s="32" t="str">
        <f t="shared" si="4"/>
        <v/>
      </c>
      <c r="J36" s="15"/>
    </row>
    <row r="37" spans="1:10" x14ac:dyDescent="0.2">
      <c r="A37" s="26">
        <f>+'Entry page'!C26</f>
        <v>0</v>
      </c>
      <c r="B37" s="27">
        <f>+'Entry page'!M26</f>
        <v>0</v>
      </c>
      <c r="C37" s="27">
        <f>+'Entry page'!N26</f>
        <v>0</v>
      </c>
      <c r="D37" s="28">
        <v>2.5</v>
      </c>
      <c r="E37" s="29">
        <f t="shared" si="0"/>
        <v>0</v>
      </c>
      <c r="F37" s="29" t="e">
        <f t="shared" si="1"/>
        <v>#VALUE!</v>
      </c>
      <c r="G37" s="34" t="e">
        <f t="shared" si="2"/>
        <v>#VALUE!</v>
      </c>
      <c r="H37" s="30" t="e">
        <f t="shared" si="3"/>
        <v>#DIV/0!</v>
      </c>
      <c r="I37" s="32" t="str">
        <f t="shared" si="4"/>
        <v/>
      </c>
      <c r="J37" s="11"/>
    </row>
    <row r="38" spans="1:10" x14ac:dyDescent="0.2">
      <c r="A38" s="26">
        <f>+'Entry page'!C27</f>
        <v>0</v>
      </c>
      <c r="B38" s="27">
        <f>+'Entry page'!M27</f>
        <v>0</v>
      </c>
      <c r="C38" s="27">
        <f>+'Entry page'!N27</f>
        <v>0</v>
      </c>
      <c r="D38" s="28">
        <v>2.5</v>
      </c>
      <c r="E38" s="29">
        <f t="shared" si="0"/>
        <v>0</v>
      </c>
      <c r="F38" s="29" t="e">
        <f t="shared" si="1"/>
        <v>#VALUE!</v>
      </c>
      <c r="G38" s="34" t="e">
        <f t="shared" si="2"/>
        <v>#VALUE!</v>
      </c>
      <c r="H38" s="30" t="e">
        <f t="shared" si="3"/>
        <v>#DIV/0!</v>
      </c>
      <c r="I38" s="32" t="str">
        <f t="shared" si="4"/>
        <v/>
      </c>
      <c r="J38" s="15"/>
    </row>
    <row r="39" spans="1:10" x14ac:dyDescent="0.2">
      <c r="A39" s="26">
        <f>+'Entry page'!C28</f>
        <v>0</v>
      </c>
      <c r="B39" s="27">
        <f>+'Entry page'!M28</f>
        <v>0</v>
      </c>
      <c r="C39" s="27">
        <f>+'Entry page'!N28</f>
        <v>0</v>
      </c>
      <c r="D39" s="28">
        <v>2.5</v>
      </c>
      <c r="E39" s="29">
        <f t="shared" si="0"/>
        <v>0</v>
      </c>
      <c r="F39" s="29" t="e">
        <f t="shared" si="1"/>
        <v>#VALUE!</v>
      </c>
      <c r="G39" s="34" t="e">
        <f t="shared" si="2"/>
        <v>#VALUE!</v>
      </c>
      <c r="H39" s="30" t="e">
        <f t="shared" si="3"/>
        <v>#DIV/0!</v>
      </c>
      <c r="I39" s="32" t="str">
        <f t="shared" si="4"/>
        <v/>
      </c>
      <c r="J39" s="11"/>
    </row>
    <row r="40" spans="1:10" x14ac:dyDescent="0.2">
      <c r="A40" s="26">
        <f>+'Entry page'!C29</f>
        <v>0</v>
      </c>
      <c r="B40" s="27">
        <f>+'Entry page'!M29</f>
        <v>0</v>
      </c>
      <c r="C40" s="27">
        <f>+'Entry page'!N29</f>
        <v>0</v>
      </c>
      <c r="D40" s="28">
        <v>2.5</v>
      </c>
      <c r="E40" s="29">
        <f t="shared" si="0"/>
        <v>0</v>
      </c>
      <c r="F40" s="29" t="e">
        <f t="shared" si="1"/>
        <v>#VALUE!</v>
      </c>
      <c r="G40" s="34" t="e">
        <f t="shared" si="2"/>
        <v>#VALUE!</v>
      </c>
      <c r="H40" s="30" t="e">
        <f t="shared" si="3"/>
        <v>#DIV/0!</v>
      </c>
      <c r="I40" s="32" t="str">
        <f t="shared" si="4"/>
        <v/>
      </c>
      <c r="J40" s="15"/>
    </row>
    <row r="41" spans="1:10" x14ac:dyDescent="0.2">
      <c r="A41" s="26">
        <f>+'Entry page'!C30</f>
        <v>0</v>
      </c>
      <c r="B41" s="27">
        <f>+'Entry page'!M30</f>
        <v>0</v>
      </c>
      <c r="C41" s="27">
        <f>+'Entry page'!N30</f>
        <v>0</v>
      </c>
      <c r="D41" s="28">
        <v>2.5</v>
      </c>
      <c r="E41" s="29">
        <f t="shared" si="0"/>
        <v>0</v>
      </c>
      <c r="F41" s="29" t="e">
        <f t="shared" si="1"/>
        <v>#VALUE!</v>
      </c>
      <c r="G41" s="34" t="e">
        <f t="shared" si="2"/>
        <v>#VALUE!</v>
      </c>
      <c r="H41" s="30" t="e">
        <f t="shared" si="3"/>
        <v>#DIV/0!</v>
      </c>
      <c r="I41" s="32" t="str">
        <f t="shared" si="4"/>
        <v/>
      </c>
      <c r="J41" s="11"/>
    </row>
    <row r="42" spans="1:10" x14ac:dyDescent="0.2">
      <c r="A42" s="26">
        <f>+'Entry page'!C31</f>
        <v>0</v>
      </c>
      <c r="B42" s="27">
        <f>+'Entry page'!M31</f>
        <v>0</v>
      </c>
      <c r="C42" s="27">
        <f>+'Entry page'!N31</f>
        <v>0</v>
      </c>
      <c r="D42" s="28">
        <v>2.5</v>
      </c>
      <c r="E42" s="29">
        <f t="shared" si="0"/>
        <v>0</v>
      </c>
      <c r="F42" s="29" t="e">
        <f t="shared" si="1"/>
        <v>#VALUE!</v>
      </c>
      <c r="G42" s="34" t="e">
        <f t="shared" si="2"/>
        <v>#VALUE!</v>
      </c>
      <c r="H42" s="30" t="e">
        <f t="shared" si="3"/>
        <v>#DIV/0!</v>
      </c>
      <c r="I42" s="32" t="str">
        <f t="shared" si="4"/>
        <v/>
      </c>
      <c r="J42" s="15"/>
    </row>
    <row r="43" spans="1:10" x14ac:dyDescent="0.2">
      <c r="A43" s="26">
        <f>+'Entry page'!C32</f>
        <v>0</v>
      </c>
      <c r="B43" s="27">
        <f>+'Entry page'!M32</f>
        <v>0</v>
      </c>
      <c r="C43" s="27">
        <f>+'Entry page'!N32</f>
        <v>0</v>
      </c>
      <c r="D43" s="28">
        <v>2.5</v>
      </c>
      <c r="E43" s="29">
        <f t="shared" si="0"/>
        <v>0</v>
      </c>
      <c r="F43" s="29" t="e">
        <f t="shared" si="1"/>
        <v>#VALUE!</v>
      </c>
      <c r="G43" s="34" t="e">
        <f t="shared" si="2"/>
        <v>#VALUE!</v>
      </c>
      <c r="H43" s="30" t="e">
        <f t="shared" si="3"/>
        <v>#DIV/0!</v>
      </c>
      <c r="I43" s="32" t="str">
        <f t="shared" si="4"/>
        <v/>
      </c>
      <c r="J43" s="11"/>
    </row>
    <row r="44" spans="1:10" x14ac:dyDescent="0.2">
      <c r="A44" s="26">
        <f>+'Entry page'!C33</f>
        <v>0</v>
      </c>
      <c r="B44" s="27">
        <f>+'Entry page'!M33</f>
        <v>0</v>
      </c>
      <c r="C44" s="27">
        <f>+'Entry page'!N33</f>
        <v>0</v>
      </c>
      <c r="D44" s="28">
        <v>2.5</v>
      </c>
      <c r="E44" s="29">
        <f t="shared" si="0"/>
        <v>0</v>
      </c>
      <c r="F44" s="29" t="e">
        <f t="shared" si="1"/>
        <v>#VALUE!</v>
      </c>
      <c r="G44" s="34" t="e">
        <f>+(1/$B$5)*LN($B$4/(($B44/$B$19)+$B$6))</f>
        <v>#VALUE!</v>
      </c>
      <c r="H44" s="30" t="e">
        <f>+(1/$B$11)*LN($B$10/(($C44/$B$20)+$B$12))</f>
        <v>#DIV/0!</v>
      </c>
      <c r="I44" s="32" t="str">
        <f t="shared" si="4"/>
        <v/>
      </c>
      <c r="J44" s="15"/>
    </row>
    <row r="45" spans="1:10" x14ac:dyDescent="0.2">
      <c r="A45" s="26">
        <f>+'Entry page'!C34</f>
        <v>0</v>
      </c>
      <c r="B45" s="27">
        <f>+'Entry page'!M34</f>
        <v>0</v>
      </c>
      <c r="C45" s="27">
        <f>+'Entry page'!N34</f>
        <v>0</v>
      </c>
      <c r="D45" s="28">
        <v>2.5</v>
      </c>
      <c r="E45" s="29">
        <f t="shared" si="0"/>
        <v>0</v>
      </c>
      <c r="F45" s="29" t="e">
        <f t="shared" si="1"/>
        <v>#VALUE!</v>
      </c>
      <c r="G45" s="34" t="e">
        <f t="shared" si="2"/>
        <v>#VALUE!</v>
      </c>
      <c r="H45" s="30" t="e">
        <f t="shared" si="3"/>
        <v>#DIV/0!</v>
      </c>
      <c r="I45" s="32" t="str">
        <f t="shared" si="4"/>
        <v/>
      </c>
      <c r="J45" s="11"/>
    </row>
    <row r="46" spans="1:10" x14ac:dyDescent="0.2">
      <c r="A46" s="26">
        <f>+'Entry page'!C35</f>
        <v>0</v>
      </c>
      <c r="B46" s="27">
        <f>+'Entry page'!M35</f>
        <v>0</v>
      </c>
      <c r="C46" s="27">
        <f>+'Entry page'!N35</f>
        <v>0</v>
      </c>
      <c r="D46" s="28">
        <v>2.5</v>
      </c>
      <c r="E46" s="29">
        <f t="shared" si="0"/>
        <v>0</v>
      </c>
      <c r="F46" s="29" t="e">
        <f t="shared" si="1"/>
        <v>#VALUE!</v>
      </c>
      <c r="G46" s="34" t="e">
        <f t="shared" si="2"/>
        <v>#VALUE!</v>
      </c>
      <c r="H46" s="30" t="e">
        <f t="shared" si="3"/>
        <v>#DIV/0!</v>
      </c>
      <c r="I46" s="32" t="str">
        <f t="shared" si="4"/>
        <v/>
      </c>
      <c r="J46" s="15"/>
    </row>
    <row r="47" spans="1:10" x14ac:dyDescent="0.2">
      <c r="A47" s="26">
        <f>+'Entry page'!C36</f>
        <v>0</v>
      </c>
      <c r="B47" s="27">
        <f>+'Entry page'!M36</f>
        <v>0</v>
      </c>
      <c r="C47" s="27">
        <f>+'Entry page'!N36</f>
        <v>0</v>
      </c>
      <c r="D47" s="28">
        <v>2.5</v>
      </c>
      <c r="E47" s="29">
        <f t="shared" si="0"/>
        <v>0</v>
      </c>
      <c r="F47" s="29" t="e">
        <f t="shared" si="1"/>
        <v>#VALUE!</v>
      </c>
      <c r="G47" s="34" t="e">
        <f t="shared" si="2"/>
        <v>#VALUE!</v>
      </c>
      <c r="H47" s="30" t="e">
        <f t="shared" si="3"/>
        <v>#DIV/0!</v>
      </c>
      <c r="I47" s="32" t="str">
        <f t="shared" si="4"/>
        <v/>
      </c>
      <c r="J47" s="11"/>
    </row>
    <row r="48" spans="1:10" x14ac:dyDescent="0.2">
      <c r="A48" s="26">
        <f>+'Entry page'!C37</f>
        <v>0</v>
      </c>
      <c r="B48" s="27">
        <f>+'Entry page'!M37</f>
        <v>0</v>
      </c>
      <c r="C48" s="27">
        <f>+'Entry page'!N37</f>
        <v>0</v>
      </c>
      <c r="D48" s="28">
        <v>2.5</v>
      </c>
      <c r="E48" s="29">
        <f t="shared" si="0"/>
        <v>0</v>
      </c>
      <c r="F48" s="29" t="e">
        <f t="shared" si="1"/>
        <v>#VALUE!</v>
      </c>
      <c r="G48" s="34" t="e">
        <f t="shared" si="2"/>
        <v>#VALUE!</v>
      </c>
      <c r="H48" s="30" t="e">
        <f t="shared" si="3"/>
        <v>#DIV/0!</v>
      </c>
      <c r="I48" s="32" t="str">
        <f t="shared" si="4"/>
        <v/>
      </c>
      <c r="J48" s="15"/>
    </row>
    <row r="49" spans="1:10" x14ac:dyDescent="0.2">
      <c r="A49" s="26">
        <f>+'Entry page'!C38</f>
        <v>0</v>
      </c>
      <c r="B49" s="27">
        <f>+'Entry page'!M38</f>
        <v>0</v>
      </c>
      <c r="C49" s="27">
        <f>+'Entry page'!N38</f>
        <v>0</v>
      </c>
      <c r="D49" s="28">
        <v>2.5</v>
      </c>
      <c r="E49" s="29">
        <f t="shared" si="0"/>
        <v>0</v>
      </c>
      <c r="F49" s="29" t="e">
        <f t="shared" si="1"/>
        <v>#VALUE!</v>
      </c>
      <c r="G49" s="34" t="e">
        <f t="shared" si="2"/>
        <v>#VALUE!</v>
      </c>
      <c r="H49" s="30" t="e">
        <f t="shared" si="3"/>
        <v>#DIV/0!</v>
      </c>
      <c r="I49" s="32" t="str">
        <f t="shared" si="4"/>
        <v/>
      </c>
      <c r="J49" s="11"/>
    </row>
    <row r="50" spans="1:10" x14ac:dyDescent="0.2">
      <c r="A50" s="26">
        <f>+'Entry page'!C39</f>
        <v>0</v>
      </c>
      <c r="B50" s="27">
        <f>+'Entry page'!M39</f>
        <v>0</v>
      </c>
      <c r="C50" s="27">
        <f>+'Entry page'!N39</f>
        <v>0</v>
      </c>
      <c r="D50" s="28">
        <v>2.5</v>
      </c>
      <c r="E50" s="29">
        <f t="shared" si="0"/>
        <v>0</v>
      </c>
      <c r="F50" s="29" t="e">
        <f t="shared" si="1"/>
        <v>#VALUE!</v>
      </c>
      <c r="G50" s="34" t="e">
        <f t="shared" si="2"/>
        <v>#VALUE!</v>
      </c>
      <c r="H50" s="30" t="e">
        <f t="shared" si="3"/>
        <v>#DIV/0!</v>
      </c>
      <c r="I50" s="32" t="str">
        <f t="shared" si="4"/>
        <v/>
      </c>
      <c r="J50" s="15"/>
    </row>
    <row r="51" spans="1:10" x14ac:dyDescent="0.2">
      <c r="A51" s="26">
        <f>+'Entry page'!C40</f>
        <v>0</v>
      </c>
      <c r="B51" s="27">
        <f>+'Entry page'!M40</f>
        <v>0</v>
      </c>
      <c r="C51" s="27">
        <f>+'Entry page'!N40</f>
        <v>0</v>
      </c>
      <c r="D51" s="28">
        <v>2.5</v>
      </c>
      <c r="E51" s="29">
        <f t="shared" si="0"/>
        <v>0</v>
      </c>
      <c r="F51" s="29" t="e">
        <f t="shared" si="1"/>
        <v>#VALUE!</v>
      </c>
      <c r="G51" s="34" t="e">
        <f t="shared" si="2"/>
        <v>#VALUE!</v>
      </c>
      <c r="H51" s="30" t="e">
        <f t="shared" si="3"/>
        <v>#DIV/0!</v>
      </c>
      <c r="I51" s="32" t="str">
        <f t="shared" si="4"/>
        <v/>
      </c>
      <c r="J51" s="11"/>
    </row>
    <row r="52" spans="1:10" x14ac:dyDescent="0.2">
      <c r="A52" s="26">
        <f>+'Entry page'!C41</f>
        <v>0</v>
      </c>
      <c r="B52" s="27">
        <f>+'Entry page'!M41</f>
        <v>0</v>
      </c>
      <c r="C52" s="27">
        <f>+'Entry page'!N41</f>
        <v>0</v>
      </c>
      <c r="D52" s="28">
        <v>2.5</v>
      </c>
      <c r="E52" s="29">
        <f t="shared" si="0"/>
        <v>0</v>
      </c>
      <c r="F52" s="29" t="e">
        <f t="shared" si="1"/>
        <v>#VALUE!</v>
      </c>
      <c r="G52" s="34" t="e">
        <f t="shared" si="2"/>
        <v>#VALUE!</v>
      </c>
      <c r="H52" s="30" t="e">
        <f t="shared" si="3"/>
        <v>#DIV/0!</v>
      </c>
      <c r="I52" s="32" t="str">
        <f t="shared" si="4"/>
        <v/>
      </c>
      <c r="J52" s="15"/>
    </row>
    <row r="53" spans="1:10" x14ac:dyDescent="0.2">
      <c r="A53" s="26">
        <f>+'Entry page'!C42</f>
        <v>0</v>
      </c>
      <c r="B53" s="27">
        <f>+'Entry page'!M42</f>
        <v>0</v>
      </c>
      <c r="C53" s="27">
        <f>+'Entry page'!N42</f>
        <v>0</v>
      </c>
      <c r="D53" s="28">
        <v>2.5</v>
      </c>
      <c r="E53" s="29">
        <f t="shared" si="0"/>
        <v>0</v>
      </c>
      <c r="F53" s="29" t="e">
        <f t="shared" si="1"/>
        <v>#VALUE!</v>
      </c>
      <c r="G53" s="34" t="e">
        <f t="shared" si="2"/>
        <v>#VALUE!</v>
      </c>
      <c r="H53" s="30" t="e">
        <f t="shared" si="3"/>
        <v>#DIV/0!</v>
      </c>
      <c r="I53" s="32" t="str">
        <f t="shared" si="4"/>
        <v/>
      </c>
      <c r="J53" s="11"/>
    </row>
    <row r="54" spans="1:10" x14ac:dyDescent="0.2">
      <c r="A54" s="26">
        <f>+'Entry page'!C43</f>
        <v>0</v>
      </c>
      <c r="B54" s="27">
        <f>+'Entry page'!M43</f>
        <v>0</v>
      </c>
      <c r="C54" s="27">
        <f>+'Entry page'!N43</f>
        <v>0</v>
      </c>
      <c r="D54" s="28">
        <v>2.5</v>
      </c>
      <c r="E54" s="29">
        <f t="shared" si="0"/>
        <v>0</v>
      </c>
      <c r="F54" s="29" t="e">
        <f t="shared" si="1"/>
        <v>#VALUE!</v>
      </c>
      <c r="G54" s="34" t="e">
        <f t="shared" si="2"/>
        <v>#VALUE!</v>
      </c>
      <c r="H54" s="30" t="e">
        <f t="shared" si="3"/>
        <v>#DIV/0!</v>
      </c>
      <c r="I54" s="32" t="str">
        <f t="shared" si="4"/>
        <v/>
      </c>
      <c r="J54" s="15"/>
    </row>
    <row r="55" spans="1:10" x14ac:dyDescent="0.2">
      <c r="A55" s="26">
        <f>+'Entry page'!C44</f>
        <v>0</v>
      </c>
      <c r="B55" s="27">
        <f>+'Entry page'!M44</f>
        <v>0</v>
      </c>
      <c r="C55" s="27">
        <f>+'Entry page'!N44</f>
        <v>0</v>
      </c>
      <c r="D55" s="28">
        <v>2.5</v>
      </c>
      <c r="E55" s="29">
        <f t="shared" si="0"/>
        <v>0</v>
      </c>
      <c r="F55" s="29" t="e">
        <f t="shared" si="1"/>
        <v>#VALUE!</v>
      </c>
      <c r="G55" s="34" t="e">
        <f t="shared" si="2"/>
        <v>#VALUE!</v>
      </c>
      <c r="H55" s="30" t="e">
        <f t="shared" si="3"/>
        <v>#DIV/0!</v>
      </c>
      <c r="I55" s="32" t="str">
        <f t="shared" si="4"/>
        <v/>
      </c>
      <c r="J55" s="11"/>
    </row>
    <row r="56" spans="1:10" x14ac:dyDescent="0.2">
      <c r="A56" s="26">
        <f>+'Entry page'!C45</f>
        <v>0</v>
      </c>
      <c r="B56" s="27">
        <f>+'Entry page'!M45</f>
        <v>0</v>
      </c>
      <c r="C56" s="27">
        <f>+'Entry page'!N45</f>
        <v>0</v>
      </c>
      <c r="D56" s="28">
        <v>2.5</v>
      </c>
      <c r="E56" s="29">
        <f t="shared" si="0"/>
        <v>0</v>
      </c>
      <c r="F56" s="29" t="e">
        <f t="shared" si="1"/>
        <v>#VALUE!</v>
      </c>
      <c r="G56" s="34" t="e">
        <f t="shared" si="2"/>
        <v>#VALUE!</v>
      </c>
      <c r="H56" s="30" t="e">
        <f t="shared" si="3"/>
        <v>#DIV/0!</v>
      </c>
      <c r="I56" s="32" t="str">
        <f t="shared" si="4"/>
        <v/>
      </c>
      <c r="J56" s="15"/>
    </row>
    <row r="57" spans="1:10" x14ac:dyDescent="0.2">
      <c r="A57" s="26">
        <f>+'Entry page'!C46</f>
        <v>0</v>
      </c>
      <c r="B57" s="27">
        <f>+'Entry page'!M46</f>
        <v>0</v>
      </c>
      <c r="C57" s="27">
        <f>+'Entry page'!N46</f>
        <v>0</v>
      </c>
      <c r="D57" s="28">
        <v>3.5</v>
      </c>
      <c r="E57" s="29">
        <f t="shared" si="0"/>
        <v>0</v>
      </c>
      <c r="F57" s="29" t="e">
        <f>+$B$13*EXP(-$B$14*D57)-$B$15</f>
        <v>#VALUE!</v>
      </c>
      <c r="G57" s="34" t="e">
        <f t="shared" si="2"/>
        <v>#VALUE!</v>
      </c>
      <c r="H57" s="30" t="e">
        <f t="shared" si="3"/>
        <v>#DIV/0!</v>
      </c>
      <c r="I57" s="32" t="str">
        <f t="shared" si="4"/>
        <v/>
      </c>
      <c r="J57" s="18"/>
    </row>
  </sheetData>
  <customSheetViews>
    <customSheetView guid="{373B6099-BBFB-4C6F-8508-763C02BEB895}">
      <pageMargins left="0.7" right="0.7" top="0.75" bottom="0.75" header="0.3" footer="0.3"/>
    </customSheetView>
  </customSheetViews>
  <mergeCells count="2">
    <mergeCell ref="D25:I25"/>
    <mergeCell ref="B26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topLeftCell="A23" workbookViewId="0">
      <selection activeCell="J28" sqref="J28:J61"/>
    </sheetView>
  </sheetViews>
  <sheetFormatPr defaultColWidth="8.85546875" defaultRowHeight="12.75" x14ac:dyDescent="0.2"/>
  <sheetData>
    <row r="2" spans="1:2" x14ac:dyDescent="0.2">
      <c r="B2" s="38" t="s">
        <v>46</v>
      </c>
    </row>
    <row r="3" spans="1:2" x14ac:dyDescent="0.2">
      <c r="A3" s="22" t="s">
        <v>87</v>
      </c>
      <c r="B3" s="37">
        <f>+'Entry page'!L63</f>
        <v>0</v>
      </c>
    </row>
    <row r="4" spans="1:2" x14ac:dyDescent="0.2">
      <c r="A4" s="22" t="s">
        <v>88</v>
      </c>
      <c r="B4" s="37" t="str">
        <f>+'Entry page'!G66</f>
        <v>A</v>
      </c>
    </row>
    <row r="5" spans="1:2" x14ac:dyDescent="0.2">
      <c r="A5" s="22" t="s">
        <v>89</v>
      </c>
      <c r="B5" s="37" t="str">
        <f>+'Entry page'!G67</f>
        <v>B</v>
      </c>
    </row>
    <row r="6" spans="1:2" x14ac:dyDescent="0.2">
      <c r="A6" s="22" t="s">
        <v>90</v>
      </c>
      <c r="B6" s="37" t="str">
        <f>+'Entry page'!G68</f>
        <v>C</v>
      </c>
    </row>
    <row r="7" spans="1:2" x14ac:dyDescent="0.2">
      <c r="A7" s="22" t="s">
        <v>91</v>
      </c>
      <c r="B7" s="37">
        <f>+'Entry page'!K66</f>
        <v>0</v>
      </c>
    </row>
    <row r="8" spans="1:2" x14ac:dyDescent="0.2">
      <c r="A8" s="22" t="s">
        <v>92</v>
      </c>
      <c r="B8" s="37">
        <f>+'Entry page'!K67</f>
        <v>0</v>
      </c>
    </row>
    <row r="9" spans="1:2" x14ac:dyDescent="0.2">
      <c r="A9" s="22" t="s">
        <v>93</v>
      </c>
      <c r="B9" s="37">
        <f>+'Entry page'!K68</f>
        <v>0</v>
      </c>
    </row>
    <row r="10" spans="1:2" x14ac:dyDescent="0.2">
      <c r="A10" s="22" t="s">
        <v>94</v>
      </c>
      <c r="B10" s="37">
        <f>+'Entry page'!I66</f>
        <v>0</v>
      </c>
    </row>
    <row r="11" spans="1:2" x14ac:dyDescent="0.2">
      <c r="A11" s="22" t="s">
        <v>95</v>
      </c>
      <c r="B11" s="37">
        <f>+'Entry page'!I67</f>
        <v>0</v>
      </c>
    </row>
    <row r="12" spans="1:2" x14ac:dyDescent="0.2">
      <c r="A12" s="22" t="s">
        <v>96</v>
      </c>
      <c r="B12" s="37">
        <f>+'Entry page'!I68</f>
        <v>0</v>
      </c>
    </row>
    <row r="13" spans="1:2" x14ac:dyDescent="0.2">
      <c r="A13" s="22" t="s">
        <v>97</v>
      </c>
      <c r="B13" s="37">
        <f>+'Entry page'!M66</f>
        <v>0</v>
      </c>
    </row>
    <row r="14" spans="1:2" x14ac:dyDescent="0.2">
      <c r="A14" s="22" t="s">
        <v>98</v>
      </c>
      <c r="B14" s="37" t="str">
        <f>+'Entry page'!M67</f>
        <v>F</v>
      </c>
    </row>
    <row r="15" spans="1:2" x14ac:dyDescent="0.2">
      <c r="A15" s="22" t="s">
        <v>99</v>
      </c>
      <c r="B15" s="37">
        <f>+'Entry page'!M68</f>
        <v>0</v>
      </c>
    </row>
    <row r="17" spans="1:10" x14ac:dyDescent="0.2">
      <c r="A17" s="19" t="s">
        <v>100</v>
      </c>
    </row>
    <row r="18" spans="1:10" x14ac:dyDescent="0.2">
      <c r="A18" s="22"/>
      <c r="B18" s="7"/>
    </row>
    <row r="19" spans="1:10" x14ac:dyDescent="0.2">
      <c r="A19" s="22" t="s">
        <v>101</v>
      </c>
      <c r="B19" s="7">
        <f>+'Entry page'!D67</f>
        <v>0</v>
      </c>
    </row>
    <row r="20" spans="1:10" x14ac:dyDescent="0.2">
      <c r="A20" s="22" t="s">
        <v>102</v>
      </c>
      <c r="B20" s="7">
        <f>+'Entry page'!E67</f>
        <v>0</v>
      </c>
    </row>
    <row r="21" spans="1:10" x14ac:dyDescent="0.2">
      <c r="A21" s="22"/>
    </row>
    <row r="22" spans="1:10" x14ac:dyDescent="0.2">
      <c r="A22" s="22"/>
    </row>
    <row r="24" spans="1:10" ht="15.75" customHeight="1" thickBot="1" x14ac:dyDescent="0.25"/>
    <row r="25" spans="1:10" ht="34.5" customHeight="1" thickBot="1" x14ac:dyDescent="0.3">
      <c r="D25" s="414" t="s">
        <v>78</v>
      </c>
      <c r="E25" s="415"/>
      <c r="F25" s="415"/>
      <c r="G25" s="415"/>
      <c r="H25" s="415"/>
      <c r="I25" s="416"/>
      <c r="J25" s="8"/>
    </row>
    <row r="26" spans="1:10" ht="26.25" thickBot="1" x14ac:dyDescent="0.25">
      <c r="A26" s="21"/>
      <c r="B26" s="417" t="s">
        <v>103</v>
      </c>
      <c r="C26" s="418"/>
      <c r="D26" s="12" t="s">
        <v>79</v>
      </c>
      <c r="E26" s="13" t="s">
        <v>80</v>
      </c>
      <c r="F26" s="13" t="s">
        <v>81</v>
      </c>
      <c r="G26" s="13" t="s">
        <v>82</v>
      </c>
      <c r="H26" s="35" t="s">
        <v>83</v>
      </c>
      <c r="I26" s="14" t="s">
        <v>84</v>
      </c>
      <c r="J26" s="10"/>
    </row>
    <row r="27" spans="1:10" ht="51.75" thickBot="1" x14ac:dyDescent="0.25">
      <c r="A27" s="23" t="s">
        <v>104</v>
      </c>
      <c r="B27" s="23" t="s">
        <v>105</v>
      </c>
      <c r="C27" s="23" t="s">
        <v>106</v>
      </c>
      <c r="D27" s="24"/>
      <c r="E27" s="24"/>
      <c r="F27" s="25"/>
      <c r="G27" s="31"/>
      <c r="H27" s="36"/>
      <c r="I27" s="39" t="s">
        <v>85</v>
      </c>
      <c r="J27" s="9" t="s">
        <v>86</v>
      </c>
    </row>
    <row r="28" spans="1:10" x14ac:dyDescent="0.2">
      <c r="A28" s="26">
        <f>+'Entry page'!C17</f>
        <v>0</v>
      </c>
      <c r="B28" s="27">
        <f>+'Entry page'!M51</f>
        <v>0</v>
      </c>
      <c r="C28" s="27">
        <f>+'Entry page'!N51</f>
        <v>0</v>
      </c>
      <c r="D28" s="28">
        <v>2.5</v>
      </c>
      <c r="E28" s="29">
        <f>+$B$7*EXP(-$B$8*D28)-$B$9</f>
        <v>0</v>
      </c>
      <c r="F28" s="29" t="e">
        <f>+$B$13*EXP(-$B$14*D28)-$B$15</f>
        <v>#VALUE!</v>
      </c>
      <c r="G28" s="34" t="e">
        <f>+(1/$B$5)*LN($B$4/(($B28/$B$19)+$B$6))</f>
        <v>#VALUE!</v>
      </c>
      <c r="H28" s="30" t="e">
        <f>+(1/$B$11)*LN($B$10/(($C28/$B$20)+$B$12))</f>
        <v>#DIV/0!</v>
      </c>
      <c r="I28" s="32" t="str">
        <f>IF(E28=0,"",ROUND(+(G28*F28-H28*E28)/(F28-E28),1))</f>
        <v/>
      </c>
      <c r="J28" s="18"/>
    </row>
    <row r="29" spans="1:10" x14ac:dyDescent="0.2">
      <c r="A29" s="26">
        <f>+'Entry page'!C18</f>
        <v>0</v>
      </c>
      <c r="B29" s="27">
        <f>+'Entry page'!M52</f>
        <v>0</v>
      </c>
      <c r="C29" s="27">
        <f>+'Entry page'!N52</f>
        <v>0</v>
      </c>
      <c r="D29" s="28">
        <v>2.5</v>
      </c>
      <c r="E29" s="29">
        <f t="shared" ref="E29:E57" si="0">+$B$7*EXP(-$B$8*D29)-$B$9</f>
        <v>0</v>
      </c>
      <c r="F29" s="29" t="e">
        <f t="shared" ref="F29:F57" si="1">+$B$13*EXP(-$B$14*D29)-$B$15</f>
        <v>#VALUE!</v>
      </c>
      <c r="G29" s="34" t="e">
        <f t="shared" ref="G29:G57" si="2">+(1/$B$5)*LN($B$4/(($B29/$B$19)+$B$6))</f>
        <v>#VALUE!</v>
      </c>
      <c r="H29" s="30" t="e">
        <f t="shared" ref="H29:H57" si="3">+(1/$B$11)*LN($B$10/(($C29/$B$20)+$B$12))</f>
        <v>#DIV/0!</v>
      </c>
      <c r="I29" s="32" t="str">
        <f t="shared" ref="I29:I57" si="4">IF(E29=0,"",ROUND(+(G29*F29-H29*E29)/(F29-E29),1))</f>
        <v/>
      </c>
      <c r="J29" s="11"/>
    </row>
    <row r="30" spans="1:10" x14ac:dyDescent="0.2">
      <c r="A30" s="26">
        <f>+'Entry page'!C19</f>
        <v>0</v>
      </c>
      <c r="B30" s="27">
        <f>+'Entry page'!M53</f>
        <v>0</v>
      </c>
      <c r="C30" s="27">
        <f>+'Entry page'!N53</f>
        <v>0</v>
      </c>
      <c r="D30" s="28">
        <v>2.5</v>
      </c>
      <c r="E30" s="29">
        <f t="shared" si="0"/>
        <v>0</v>
      </c>
      <c r="F30" s="29" t="e">
        <f t="shared" si="1"/>
        <v>#VALUE!</v>
      </c>
      <c r="G30" s="34" t="e">
        <f t="shared" si="2"/>
        <v>#VALUE!</v>
      </c>
      <c r="H30" s="30" t="e">
        <f t="shared" si="3"/>
        <v>#DIV/0!</v>
      </c>
      <c r="I30" s="32" t="str">
        <f t="shared" si="4"/>
        <v/>
      </c>
      <c r="J30" s="18"/>
    </row>
    <row r="31" spans="1:10" x14ac:dyDescent="0.2">
      <c r="A31" s="26">
        <f>+'Entry page'!C20</f>
        <v>0</v>
      </c>
      <c r="B31" s="27">
        <f>+'Entry page'!M54</f>
        <v>0</v>
      </c>
      <c r="C31" s="27">
        <f>+'Entry page'!N54</f>
        <v>0</v>
      </c>
      <c r="D31" s="28">
        <v>2.5</v>
      </c>
      <c r="E31" s="29">
        <f t="shared" si="0"/>
        <v>0</v>
      </c>
      <c r="F31" s="29" t="e">
        <f t="shared" si="1"/>
        <v>#VALUE!</v>
      </c>
      <c r="G31" s="34" t="e">
        <f t="shared" si="2"/>
        <v>#VALUE!</v>
      </c>
      <c r="H31" s="30" t="e">
        <f t="shared" si="3"/>
        <v>#DIV/0!</v>
      </c>
      <c r="I31" s="32" t="str">
        <f t="shared" si="4"/>
        <v/>
      </c>
      <c r="J31" s="11"/>
    </row>
    <row r="32" spans="1:10" x14ac:dyDescent="0.2">
      <c r="A32" s="26">
        <f>+'Entry page'!C21</f>
        <v>0</v>
      </c>
      <c r="B32" s="27">
        <f>+'Entry page'!M55</f>
        <v>0</v>
      </c>
      <c r="C32" s="27">
        <f>+'Entry page'!N55</f>
        <v>0</v>
      </c>
      <c r="D32" s="28">
        <v>2.5</v>
      </c>
      <c r="E32" s="29">
        <f t="shared" si="0"/>
        <v>0</v>
      </c>
      <c r="F32" s="29" t="e">
        <f t="shared" si="1"/>
        <v>#VALUE!</v>
      </c>
      <c r="G32" s="34" t="e">
        <f t="shared" si="2"/>
        <v>#VALUE!</v>
      </c>
      <c r="H32" s="30" t="e">
        <f t="shared" si="3"/>
        <v>#DIV/0!</v>
      </c>
      <c r="I32" s="32" t="str">
        <f t="shared" si="4"/>
        <v/>
      </c>
      <c r="J32" s="18"/>
    </row>
    <row r="33" spans="1:10" x14ac:dyDescent="0.2">
      <c r="A33" s="26">
        <f>+'Entry page'!C22</f>
        <v>0</v>
      </c>
      <c r="B33" s="27">
        <f>+'Entry page'!M56</f>
        <v>0</v>
      </c>
      <c r="C33" s="27">
        <f>+'Entry page'!N56</f>
        <v>0</v>
      </c>
      <c r="D33" s="28">
        <v>2.5</v>
      </c>
      <c r="E33" s="29">
        <f t="shared" si="0"/>
        <v>0</v>
      </c>
      <c r="F33" s="29" t="e">
        <f t="shared" si="1"/>
        <v>#VALUE!</v>
      </c>
      <c r="G33" s="34" t="e">
        <f t="shared" si="2"/>
        <v>#VALUE!</v>
      </c>
      <c r="H33" s="30" t="e">
        <f t="shared" si="3"/>
        <v>#DIV/0!</v>
      </c>
      <c r="I33" s="32" t="str">
        <f t="shared" si="4"/>
        <v/>
      </c>
      <c r="J33" s="11"/>
    </row>
    <row r="34" spans="1:10" x14ac:dyDescent="0.2">
      <c r="A34" s="26">
        <f>+'Entry page'!C23</f>
        <v>0</v>
      </c>
      <c r="B34" s="27">
        <f>+'Entry page'!M57</f>
        <v>0</v>
      </c>
      <c r="C34" s="27">
        <f>+'Entry page'!N57</f>
        <v>0</v>
      </c>
      <c r="D34" s="28">
        <v>2.5</v>
      </c>
      <c r="E34" s="29">
        <f t="shared" si="0"/>
        <v>0</v>
      </c>
      <c r="F34" s="29" t="e">
        <f t="shared" si="1"/>
        <v>#VALUE!</v>
      </c>
      <c r="G34" s="34" t="e">
        <f t="shared" si="2"/>
        <v>#VALUE!</v>
      </c>
      <c r="H34" s="30" t="e">
        <f t="shared" si="3"/>
        <v>#DIV/0!</v>
      </c>
      <c r="I34" s="32" t="str">
        <f t="shared" si="4"/>
        <v/>
      </c>
      <c r="J34" s="18"/>
    </row>
    <row r="35" spans="1:10" x14ac:dyDescent="0.2">
      <c r="A35" s="26">
        <f>+'Entry page'!C24</f>
        <v>0</v>
      </c>
      <c r="B35" s="27">
        <f>+'Entry page'!M58</f>
        <v>0</v>
      </c>
      <c r="C35" s="27">
        <f>+'Entry page'!N58</f>
        <v>0</v>
      </c>
      <c r="D35" s="28">
        <v>2.5</v>
      </c>
      <c r="E35" s="29">
        <f t="shared" si="0"/>
        <v>0</v>
      </c>
      <c r="F35" s="29" t="e">
        <f t="shared" si="1"/>
        <v>#VALUE!</v>
      </c>
      <c r="G35" s="34" t="e">
        <f t="shared" si="2"/>
        <v>#VALUE!</v>
      </c>
      <c r="H35" s="30" t="e">
        <f t="shared" si="3"/>
        <v>#DIV/0!</v>
      </c>
      <c r="I35" s="32" t="str">
        <f t="shared" si="4"/>
        <v/>
      </c>
      <c r="J35" s="11"/>
    </row>
    <row r="36" spans="1:10" x14ac:dyDescent="0.2">
      <c r="A36" s="26">
        <f>+'Entry page'!C25</f>
        <v>0</v>
      </c>
      <c r="B36" s="27">
        <f>+'Entry page'!M59</f>
        <v>0</v>
      </c>
      <c r="C36" s="27">
        <f>+'Entry page'!N59</f>
        <v>0</v>
      </c>
      <c r="D36" s="28">
        <v>2.5</v>
      </c>
      <c r="E36" s="29">
        <f t="shared" si="0"/>
        <v>0</v>
      </c>
      <c r="F36" s="29" t="e">
        <f t="shared" si="1"/>
        <v>#VALUE!</v>
      </c>
      <c r="G36" s="34" t="e">
        <f t="shared" si="2"/>
        <v>#VALUE!</v>
      </c>
      <c r="H36" s="30" t="e">
        <f t="shared" si="3"/>
        <v>#DIV/0!</v>
      </c>
      <c r="I36" s="32" t="str">
        <f t="shared" si="4"/>
        <v/>
      </c>
      <c r="J36" s="18"/>
    </row>
    <row r="37" spans="1:10" x14ac:dyDescent="0.2">
      <c r="A37" s="26">
        <f>+'Entry page'!C26</f>
        <v>0</v>
      </c>
      <c r="B37" s="27">
        <f>+'Entry page'!M60</f>
        <v>0</v>
      </c>
      <c r="C37" s="27">
        <f>+'Entry page'!N60</f>
        <v>0</v>
      </c>
      <c r="D37" s="28">
        <v>2.5</v>
      </c>
      <c r="E37" s="29">
        <f t="shared" si="0"/>
        <v>0</v>
      </c>
      <c r="F37" s="29" t="e">
        <f t="shared" si="1"/>
        <v>#VALUE!</v>
      </c>
      <c r="G37" s="34" t="e">
        <f t="shared" si="2"/>
        <v>#VALUE!</v>
      </c>
      <c r="H37" s="30" t="e">
        <f t="shared" si="3"/>
        <v>#DIV/0!</v>
      </c>
      <c r="I37" s="32" t="str">
        <f t="shared" si="4"/>
        <v/>
      </c>
      <c r="J37" s="11"/>
    </row>
    <row r="38" spans="1:10" x14ac:dyDescent="0.2">
      <c r="A38" s="26">
        <f>+'Entry page'!C27</f>
        <v>0</v>
      </c>
      <c r="B38" s="27" t="e">
        <f>+'Entry page'!#REF!</f>
        <v>#REF!</v>
      </c>
      <c r="C38" s="27" t="e">
        <f>+'Entry page'!#REF!</f>
        <v>#REF!</v>
      </c>
      <c r="D38" s="28">
        <v>2.5</v>
      </c>
      <c r="E38" s="29">
        <f t="shared" si="0"/>
        <v>0</v>
      </c>
      <c r="F38" s="29" t="e">
        <f t="shared" si="1"/>
        <v>#VALUE!</v>
      </c>
      <c r="G38" s="34" t="e">
        <f t="shared" si="2"/>
        <v>#VALUE!</v>
      </c>
      <c r="H38" s="30" t="e">
        <f t="shared" si="3"/>
        <v>#DIV/0!</v>
      </c>
      <c r="I38" s="32" t="str">
        <f t="shared" si="4"/>
        <v/>
      </c>
      <c r="J38" s="18"/>
    </row>
    <row r="39" spans="1:10" x14ac:dyDescent="0.2">
      <c r="A39" s="26">
        <f>+'Entry page'!C28</f>
        <v>0</v>
      </c>
      <c r="B39" s="27"/>
      <c r="C39" s="27">
        <f>+'Entry page'!N28</f>
        <v>0</v>
      </c>
      <c r="D39" s="28">
        <v>2.5</v>
      </c>
      <c r="E39" s="29">
        <f t="shared" si="0"/>
        <v>0</v>
      </c>
      <c r="F39" s="29" t="e">
        <f t="shared" si="1"/>
        <v>#VALUE!</v>
      </c>
      <c r="G39" s="34" t="e">
        <f t="shared" si="2"/>
        <v>#VALUE!</v>
      </c>
      <c r="H39" s="30" t="e">
        <f t="shared" si="3"/>
        <v>#DIV/0!</v>
      </c>
      <c r="I39" s="32" t="str">
        <f t="shared" si="4"/>
        <v/>
      </c>
      <c r="J39" s="11"/>
    </row>
    <row r="40" spans="1:10" x14ac:dyDescent="0.2">
      <c r="A40" s="26">
        <f>+'Entry page'!C29</f>
        <v>0</v>
      </c>
      <c r="B40" s="27"/>
      <c r="C40" s="27">
        <f>+'Entry page'!N29</f>
        <v>0</v>
      </c>
      <c r="D40" s="28">
        <v>2.5</v>
      </c>
      <c r="E40" s="29">
        <f t="shared" si="0"/>
        <v>0</v>
      </c>
      <c r="F40" s="29" t="e">
        <f t="shared" si="1"/>
        <v>#VALUE!</v>
      </c>
      <c r="G40" s="34" t="e">
        <f t="shared" si="2"/>
        <v>#VALUE!</v>
      </c>
      <c r="H40" s="30" t="e">
        <f t="shared" si="3"/>
        <v>#DIV/0!</v>
      </c>
      <c r="I40" s="32" t="str">
        <f t="shared" si="4"/>
        <v/>
      </c>
      <c r="J40" s="18"/>
    </row>
    <row r="41" spans="1:10" x14ac:dyDescent="0.2">
      <c r="A41" s="26">
        <f>+'Entry page'!C30</f>
        <v>0</v>
      </c>
      <c r="B41" s="27"/>
      <c r="C41" s="27">
        <f>+'Entry page'!N30</f>
        <v>0</v>
      </c>
      <c r="D41" s="28">
        <v>2.5</v>
      </c>
      <c r="E41" s="29">
        <f t="shared" si="0"/>
        <v>0</v>
      </c>
      <c r="F41" s="29" t="e">
        <f t="shared" si="1"/>
        <v>#VALUE!</v>
      </c>
      <c r="G41" s="34" t="e">
        <f t="shared" si="2"/>
        <v>#VALUE!</v>
      </c>
      <c r="H41" s="30" t="e">
        <f t="shared" si="3"/>
        <v>#DIV/0!</v>
      </c>
      <c r="I41" s="32" t="str">
        <f t="shared" si="4"/>
        <v/>
      </c>
      <c r="J41" s="11"/>
    </row>
    <row r="42" spans="1:10" x14ac:dyDescent="0.2">
      <c r="A42" s="26">
        <f>+'Entry page'!C31</f>
        <v>0</v>
      </c>
      <c r="B42" s="27"/>
      <c r="C42" s="27">
        <f>+'Entry page'!N31</f>
        <v>0</v>
      </c>
      <c r="D42" s="28">
        <v>2.5</v>
      </c>
      <c r="E42" s="29">
        <f t="shared" si="0"/>
        <v>0</v>
      </c>
      <c r="F42" s="29" t="e">
        <f t="shared" si="1"/>
        <v>#VALUE!</v>
      </c>
      <c r="G42" s="34" t="e">
        <f t="shared" si="2"/>
        <v>#VALUE!</v>
      </c>
      <c r="H42" s="30" t="e">
        <f t="shared" si="3"/>
        <v>#DIV/0!</v>
      </c>
      <c r="I42" s="32" t="str">
        <f t="shared" si="4"/>
        <v/>
      </c>
      <c r="J42" s="18"/>
    </row>
    <row r="43" spans="1:10" x14ac:dyDescent="0.2">
      <c r="A43" s="26">
        <f>+'Entry page'!C32</f>
        <v>0</v>
      </c>
      <c r="B43" s="27"/>
      <c r="C43" s="27">
        <f>+'Entry page'!N32</f>
        <v>0</v>
      </c>
      <c r="D43" s="28">
        <v>2.5</v>
      </c>
      <c r="E43" s="29">
        <f t="shared" si="0"/>
        <v>0</v>
      </c>
      <c r="F43" s="29" t="e">
        <f t="shared" si="1"/>
        <v>#VALUE!</v>
      </c>
      <c r="G43" s="34" t="e">
        <f t="shared" si="2"/>
        <v>#VALUE!</v>
      </c>
      <c r="H43" s="30" t="e">
        <f t="shared" si="3"/>
        <v>#DIV/0!</v>
      </c>
      <c r="I43" s="32" t="str">
        <f t="shared" si="4"/>
        <v/>
      </c>
      <c r="J43" s="11"/>
    </row>
    <row r="44" spans="1:10" x14ac:dyDescent="0.2">
      <c r="A44" s="26">
        <f>+'Entry page'!C33</f>
        <v>0</v>
      </c>
      <c r="B44" s="27"/>
      <c r="C44" s="27">
        <f>+'Entry page'!N33</f>
        <v>0</v>
      </c>
      <c r="D44" s="28">
        <v>2.5</v>
      </c>
      <c r="E44" s="29">
        <f t="shared" si="0"/>
        <v>0</v>
      </c>
      <c r="F44" s="29" t="e">
        <f t="shared" si="1"/>
        <v>#VALUE!</v>
      </c>
      <c r="G44" s="34" t="e">
        <f>+(1/$B$5)*LN($B$4/(($B44/$B$19)+$B$6))</f>
        <v>#VALUE!</v>
      </c>
      <c r="H44" s="30" t="e">
        <f>+(1/$B$11)*LN($B$10/(($C44/$B$20)+$B$12))</f>
        <v>#DIV/0!</v>
      </c>
      <c r="I44" s="32" t="str">
        <f t="shared" si="4"/>
        <v/>
      </c>
      <c r="J44" s="18"/>
    </row>
    <row r="45" spans="1:10" x14ac:dyDescent="0.2">
      <c r="A45" s="26">
        <f>+'Entry page'!C34</f>
        <v>0</v>
      </c>
      <c r="B45" s="27"/>
      <c r="C45" s="27">
        <f>+'Entry page'!N34</f>
        <v>0</v>
      </c>
      <c r="D45" s="28">
        <v>2.5</v>
      </c>
      <c r="E45" s="29">
        <f t="shared" si="0"/>
        <v>0</v>
      </c>
      <c r="F45" s="29" t="e">
        <f t="shared" si="1"/>
        <v>#VALUE!</v>
      </c>
      <c r="G45" s="34" t="e">
        <f t="shared" si="2"/>
        <v>#VALUE!</v>
      </c>
      <c r="H45" s="30" t="e">
        <f t="shared" si="3"/>
        <v>#DIV/0!</v>
      </c>
      <c r="I45" s="32" t="str">
        <f t="shared" si="4"/>
        <v/>
      </c>
      <c r="J45" s="11"/>
    </row>
    <row r="46" spans="1:10" x14ac:dyDescent="0.2">
      <c r="A46" s="26">
        <f>+'Entry page'!C35</f>
        <v>0</v>
      </c>
      <c r="B46" s="27"/>
      <c r="C46" s="27">
        <f>+'Entry page'!N35</f>
        <v>0</v>
      </c>
      <c r="D46" s="28">
        <v>2.5</v>
      </c>
      <c r="E46" s="29">
        <f t="shared" si="0"/>
        <v>0</v>
      </c>
      <c r="F46" s="29" t="e">
        <f t="shared" si="1"/>
        <v>#VALUE!</v>
      </c>
      <c r="G46" s="34" t="e">
        <f t="shared" si="2"/>
        <v>#VALUE!</v>
      </c>
      <c r="H46" s="30" t="e">
        <f t="shared" si="3"/>
        <v>#DIV/0!</v>
      </c>
      <c r="I46" s="32" t="str">
        <f t="shared" si="4"/>
        <v/>
      </c>
      <c r="J46" s="18"/>
    </row>
    <row r="47" spans="1:10" x14ac:dyDescent="0.2">
      <c r="A47" s="26">
        <f>+'Entry page'!C36</f>
        <v>0</v>
      </c>
      <c r="B47" s="27"/>
      <c r="C47" s="27">
        <f>+'Entry page'!N36</f>
        <v>0</v>
      </c>
      <c r="D47" s="28">
        <v>2.5</v>
      </c>
      <c r="E47" s="29">
        <f t="shared" si="0"/>
        <v>0</v>
      </c>
      <c r="F47" s="29" t="e">
        <f t="shared" si="1"/>
        <v>#VALUE!</v>
      </c>
      <c r="G47" s="34" t="e">
        <f t="shared" si="2"/>
        <v>#VALUE!</v>
      </c>
      <c r="H47" s="30" t="e">
        <f t="shared" si="3"/>
        <v>#DIV/0!</v>
      </c>
      <c r="I47" s="32" t="str">
        <f t="shared" si="4"/>
        <v/>
      </c>
      <c r="J47" s="11"/>
    </row>
    <row r="48" spans="1:10" x14ac:dyDescent="0.2">
      <c r="A48" s="26">
        <f>+'Entry page'!C37</f>
        <v>0</v>
      </c>
      <c r="B48" s="27"/>
      <c r="C48" s="27">
        <f>+'Entry page'!N37</f>
        <v>0</v>
      </c>
      <c r="D48" s="28">
        <v>2.5</v>
      </c>
      <c r="E48" s="29">
        <f t="shared" si="0"/>
        <v>0</v>
      </c>
      <c r="F48" s="29" t="e">
        <f t="shared" si="1"/>
        <v>#VALUE!</v>
      </c>
      <c r="G48" s="34" t="e">
        <f t="shared" si="2"/>
        <v>#VALUE!</v>
      </c>
      <c r="H48" s="30" t="e">
        <f t="shared" si="3"/>
        <v>#DIV/0!</v>
      </c>
      <c r="I48" s="32" t="str">
        <f t="shared" si="4"/>
        <v/>
      </c>
      <c r="J48" s="18"/>
    </row>
    <row r="49" spans="1:10" x14ac:dyDescent="0.2">
      <c r="A49" s="26">
        <f>+'Entry page'!C38</f>
        <v>0</v>
      </c>
      <c r="B49" s="27"/>
      <c r="C49" s="27">
        <f>+'Entry page'!N38</f>
        <v>0</v>
      </c>
      <c r="D49" s="28">
        <v>2.5</v>
      </c>
      <c r="E49" s="29">
        <f t="shared" si="0"/>
        <v>0</v>
      </c>
      <c r="F49" s="29" t="e">
        <f t="shared" si="1"/>
        <v>#VALUE!</v>
      </c>
      <c r="G49" s="34" t="e">
        <f t="shared" si="2"/>
        <v>#VALUE!</v>
      </c>
      <c r="H49" s="30" t="e">
        <f t="shared" si="3"/>
        <v>#DIV/0!</v>
      </c>
      <c r="I49" s="32" t="str">
        <f t="shared" si="4"/>
        <v/>
      </c>
      <c r="J49" s="11"/>
    </row>
    <row r="50" spans="1:10" x14ac:dyDescent="0.2">
      <c r="A50" s="26">
        <f>+'Entry page'!C39</f>
        <v>0</v>
      </c>
      <c r="B50" s="27"/>
      <c r="C50" s="27">
        <f>+'Entry page'!N39</f>
        <v>0</v>
      </c>
      <c r="D50" s="28">
        <v>2.5</v>
      </c>
      <c r="E50" s="29">
        <f t="shared" si="0"/>
        <v>0</v>
      </c>
      <c r="F50" s="29" t="e">
        <f t="shared" si="1"/>
        <v>#VALUE!</v>
      </c>
      <c r="G50" s="34" t="e">
        <f t="shared" si="2"/>
        <v>#VALUE!</v>
      </c>
      <c r="H50" s="30" t="e">
        <f t="shared" si="3"/>
        <v>#DIV/0!</v>
      </c>
      <c r="I50" s="32" t="str">
        <f t="shared" si="4"/>
        <v/>
      </c>
      <c r="J50" s="18"/>
    </row>
    <row r="51" spans="1:10" x14ac:dyDescent="0.2">
      <c r="A51" s="26">
        <f>+'Entry page'!C40</f>
        <v>0</v>
      </c>
      <c r="B51" s="27"/>
      <c r="C51" s="27">
        <f>+'Entry page'!N40</f>
        <v>0</v>
      </c>
      <c r="D51" s="28">
        <v>2.5</v>
      </c>
      <c r="E51" s="29">
        <f t="shared" si="0"/>
        <v>0</v>
      </c>
      <c r="F51" s="29" t="e">
        <f t="shared" si="1"/>
        <v>#VALUE!</v>
      </c>
      <c r="G51" s="34" t="e">
        <f t="shared" si="2"/>
        <v>#VALUE!</v>
      </c>
      <c r="H51" s="30" t="e">
        <f t="shared" si="3"/>
        <v>#DIV/0!</v>
      </c>
      <c r="I51" s="32" t="str">
        <f t="shared" si="4"/>
        <v/>
      </c>
      <c r="J51" s="11"/>
    </row>
    <row r="52" spans="1:10" x14ac:dyDescent="0.2">
      <c r="A52" s="26">
        <f>+'Entry page'!C41</f>
        <v>0</v>
      </c>
      <c r="B52" s="27"/>
      <c r="C52" s="27">
        <f>+'Entry page'!N41</f>
        <v>0</v>
      </c>
      <c r="D52" s="28">
        <v>2.5</v>
      </c>
      <c r="E52" s="29">
        <f t="shared" si="0"/>
        <v>0</v>
      </c>
      <c r="F52" s="29" t="e">
        <f t="shared" si="1"/>
        <v>#VALUE!</v>
      </c>
      <c r="G52" s="34" t="e">
        <f t="shared" si="2"/>
        <v>#VALUE!</v>
      </c>
      <c r="H52" s="30" t="e">
        <f t="shared" si="3"/>
        <v>#DIV/0!</v>
      </c>
      <c r="I52" s="32" t="str">
        <f t="shared" si="4"/>
        <v/>
      </c>
      <c r="J52" s="18"/>
    </row>
    <row r="53" spans="1:10" x14ac:dyDescent="0.2">
      <c r="A53" s="26">
        <f>+'Entry page'!C42</f>
        <v>0</v>
      </c>
      <c r="B53" s="27"/>
      <c r="C53" s="27">
        <f>+'Entry page'!N42</f>
        <v>0</v>
      </c>
      <c r="D53" s="28">
        <v>2.5</v>
      </c>
      <c r="E53" s="29">
        <f t="shared" si="0"/>
        <v>0</v>
      </c>
      <c r="F53" s="29" t="e">
        <f t="shared" si="1"/>
        <v>#VALUE!</v>
      </c>
      <c r="G53" s="34" t="e">
        <f t="shared" si="2"/>
        <v>#VALUE!</v>
      </c>
      <c r="H53" s="30" t="e">
        <f t="shared" si="3"/>
        <v>#DIV/0!</v>
      </c>
      <c r="I53" s="32" t="str">
        <f t="shared" si="4"/>
        <v/>
      </c>
      <c r="J53" s="11"/>
    </row>
    <row r="54" spans="1:10" x14ac:dyDescent="0.2">
      <c r="A54" s="26">
        <f>+'Entry page'!C43</f>
        <v>0</v>
      </c>
      <c r="B54" s="27"/>
      <c r="C54" s="27">
        <f>+'Entry page'!N43</f>
        <v>0</v>
      </c>
      <c r="D54" s="28">
        <v>2.5</v>
      </c>
      <c r="E54" s="29">
        <f t="shared" si="0"/>
        <v>0</v>
      </c>
      <c r="F54" s="29" t="e">
        <f t="shared" si="1"/>
        <v>#VALUE!</v>
      </c>
      <c r="G54" s="34" t="e">
        <f t="shared" si="2"/>
        <v>#VALUE!</v>
      </c>
      <c r="H54" s="30" t="e">
        <f t="shared" si="3"/>
        <v>#DIV/0!</v>
      </c>
      <c r="I54" s="32" t="str">
        <f t="shared" si="4"/>
        <v/>
      </c>
      <c r="J54" s="18"/>
    </row>
    <row r="55" spans="1:10" x14ac:dyDescent="0.2">
      <c r="A55" s="26">
        <f>+'Entry page'!C44</f>
        <v>0</v>
      </c>
      <c r="B55" s="27"/>
      <c r="C55" s="27">
        <f>+'Entry page'!N44</f>
        <v>0</v>
      </c>
      <c r="D55" s="28">
        <v>2.5</v>
      </c>
      <c r="E55" s="29">
        <f t="shared" si="0"/>
        <v>0</v>
      </c>
      <c r="F55" s="29" t="e">
        <f t="shared" si="1"/>
        <v>#VALUE!</v>
      </c>
      <c r="G55" s="34" t="e">
        <f t="shared" si="2"/>
        <v>#VALUE!</v>
      </c>
      <c r="H55" s="30" t="e">
        <f t="shared" si="3"/>
        <v>#DIV/0!</v>
      </c>
      <c r="I55" s="32" t="str">
        <f t="shared" si="4"/>
        <v/>
      </c>
      <c r="J55" s="11"/>
    </row>
    <row r="56" spans="1:10" x14ac:dyDescent="0.2">
      <c r="A56" s="26">
        <f>+'Entry page'!C45</f>
        <v>0</v>
      </c>
      <c r="B56" s="27"/>
      <c r="C56" s="27">
        <f>+'Entry page'!N45</f>
        <v>0</v>
      </c>
      <c r="D56" s="28">
        <v>2.5</v>
      </c>
      <c r="E56" s="29">
        <f t="shared" si="0"/>
        <v>0</v>
      </c>
      <c r="F56" s="29" t="e">
        <f t="shared" si="1"/>
        <v>#VALUE!</v>
      </c>
      <c r="G56" s="34" t="e">
        <f t="shared" si="2"/>
        <v>#VALUE!</v>
      </c>
      <c r="H56" s="30" t="e">
        <f t="shared" si="3"/>
        <v>#DIV/0!</v>
      </c>
      <c r="I56" s="32" t="str">
        <f t="shared" si="4"/>
        <v/>
      </c>
      <c r="J56" s="18"/>
    </row>
    <row r="57" spans="1:10" x14ac:dyDescent="0.2">
      <c r="A57" s="26">
        <f>+'Entry page'!C46</f>
        <v>0</v>
      </c>
      <c r="B57" s="27"/>
      <c r="C57" s="27">
        <f>+'Entry page'!N46</f>
        <v>0</v>
      </c>
      <c r="D57" s="28">
        <v>3.5</v>
      </c>
      <c r="E57" s="29">
        <f t="shared" si="0"/>
        <v>0</v>
      </c>
      <c r="F57" s="29" t="e">
        <f t="shared" si="1"/>
        <v>#VALUE!</v>
      </c>
      <c r="G57" s="34" t="e">
        <f t="shared" si="2"/>
        <v>#VALUE!</v>
      </c>
      <c r="H57" s="30" t="e">
        <f t="shared" si="3"/>
        <v>#DIV/0!</v>
      </c>
      <c r="I57" s="32" t="str">
        <f t="shared" si="4"/>
        <v/>
      </c>
      <c r="J57" s="18"/>
    </row>
  </sheetData>
  <mergeCells count="2">
    <mergeCell ref="D25:I25"/>
    <mergeCell ref="B26:C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X24"/>
  <sheetViews>
    <sheetView workbookViewId="0">
      <selection activeCell="X4" sqref="X4"/>
    </sheetView>
  </sheetViews>
  <sheetFormatPr defaultColWidth="8.85546875" defaultRowHeight="12.75" x14ac:dyDescent="0.2"/>
  <sheetData>
    <row r="4" spans="4:24" x14ac:dyDescent="0.2">
      <c r="D4" s="1"/>
      <c r="E4" s="1">
        <v>1</v>
      </c>
      <c r="F4" s="1">
        <v>2</v>
      </c>
      <c r="G4" s="1">
        <v>3</v>
      </c>
      <c r="H4" s="1">
        <v>4</v>
      </c>
      <c r="I4" s="1">
        <v>5</v>
      </c>
      <c r="J4" s="1">
        <v>6</v>
      </c>
      <c r="K4" s="1">
        <v>7</v>
      </c>
      <c r="L4" s="1">
        <v>8</v>
      </c>
      <c r="M4" s="1">
        <v>9</v>
      </c>
      <c r="N4" s="1">
        <v>10</v>
      </c>
      <c r="O4" s="1">
        <v>11</v>
      </c>
      <c r="P4" s="1">
        <v>12</v>
      </c>
      <c r="Q4" s="1">
        <v>13</v>
      </c>
      <c r="R4" s="1">
        <v>14</v>
      </c>
      <c r="S4" s="1">
        <v>15</v>
      </c>
      <c r="T4" s="1">
        <v>16</v>
      </c>
      <c r="U4" s="1">
        <v>17</v>
      </c>
      <c r="V4" s="1">
        <v>18</v>
      </c>
      <c r="W4" s="1">
        <v>19</v>
      </c>
      <c r="X4" s="1">
        <v>20</v>
      </c>
    </row>
    <row r="5" spans="4:24" x14ac:dyDescent="0.2">
      <c r="D5" s="1">
        <v>1</v>
      </c>
      <c r="E5" s="2">
        <v>161.46899999999999</v>
      </c>
      <c r="F5" s="2">
        <v>199.49299999999999</v>
      </c>
      <c r="G5" s="2">
        <v>215.73699999999999</v>
      </c>
      <c r="H5" s="2">
        <v>224.5</v>
      </c>
      <c r="I5" s="2">
        <v>230.066</v>
      </c>
      <c r="J5" s="2">
        <v>234.001</v>
      </c>
      <c r="K5" s="2">
        <v>236.77199999999999</v>
      </c>
      <c r="L5" s="2">
        <v>238.94900000000001</v>
      </c>
      <c r="M5" s="2">
        <v>240.49600000000001</v>
      </c>
      <c r="N5" s="2">
        <v>241.83799999999999</v>
      </c>
      <c r="O5" s="2">
        <v>242.96799999999999</v>
      </c>
      <c r="P5" s="2">
        <v>243.88</v>
      </c>
      <c r="Q5" s="2">
        <v>244.798</v>
      </c>
      <c r="R5" s="2">
        <v>245.26</v>
      </c>
      <c r="S5" s="2">
        <v>245.95599999999999</v>
      </c>
      <c r="T5" s="2">
        <v>246.422</v>
      </c>
      <c r="U5" s="2">
        <v>246.89</v>
      </c>
      <c r="V5" s="2">
        <v>247.36</v>
      </c>
      <c r="W5" s="2">
        <v>247.596</v>
      </c>
      <c r="X5" s="2">
        <v>248.06800000000001</v>
      </c>
    </row>
    <row r="6" spans="4:24" x14ac:dyDescent="0.2">
      <c r="D6" s="1">
        <v>2</v>
      </c>
      <c r="E6" s="2">
        <v>18.512799999999999</v>
      </c>
      <c r="F6" s="2">
        <v>18.999500000000001</v>
      </c>
      <c r="G6" s="2">
        <v>19.164200000000001</v>
      </c>
      <c r="H6" s="2">
        <v>19.246700000000001</v>
      </c>
      <c r="I6" s="2">
        <v>19.296900000000001</v>
      </c>
      <c r="J6" s="2">
        <v>19.329899999999999</v>
      </c>
      <c r="K6" s="2">
        <v>19.3536</v>
      </c>
      <c r="L6" s="2">
        <v>19.370999999999999</v>
      </c>
      <c r="M6" s="2">
        <v>19.385200000000001</v>
      </c>
      <c r="N6" s="2">
        <v>19.3963</v>
      </c>
      <c r="O6" s="2">
        <v>19.404299999999999</v>
      </c>
      <c r="P6" s="2">
        <v>19.412199999999999</v>
      </c>
      <c r="Q6" s="2">
        <v>19.418600000000001</v>
      </c>
      <c r="R6" s="2">
        <v>19.425000000000001</v>
      </c>
      <c r="S6" s="2">
        <v>19.4297</v>
      </c>
      <c r="T6" s="2">
        <v>19.4329</v>
      </c>
      <c r="U6" s="2">
        <v>19.4377</v>
      </c>
      <c r="V6" s="2">
        <v>19.440899999999999</v>
      </c>
      <c r="W6" s="2">
        <v>19.442499999999999</v>
      </c>
      <c r="X6" s="2">
        <v>19.445699999999999</v>
      </c>
    </row>
    <row r="7" spans="4:24" x14ac:dyDescent="0.2">
      <c r="D7" s="1">
        <v>3</v>
      </c>
      <c r="E7" s="2">
        <v>10.127800000000001</v>
      </c>
      <c r="F7" s="2">
        <v>9.5521999999999991</v>
      </c>
      <c r="G7" s="2">
        <v>9.2766999999999999</v>
      </c>
      <c r="H7" s="2">
        <v>9.1173000000000002</v>
      </c>
      <c r="I7" s="2">
        <v>9.0132999999999992</v>
      </c>
      <c r="J7" s="2">
        <v>8.9407999999999994</v>
      </c>
      <c r="K7" s="2">
        <v>8.8867999999999991</v>
      </c>
      <c r="L7" s="2">
        <v>8.8452000000000002</v>
      </c>
      <c r="M7" s="2">
        <v>8.8124000000000002</v>
      </c>
      <c r="N7" s="2">
        <v>8.7857000000000003</v>
      </c>
      <c r="O7" s="2">
        <v>8.7635000000000005</v>
      </c>
      <c r="P7" s="2">
        <v>8.7446000000000002</v>
      </c>
      <c r="Q7" s="2">
        <v>8.7286999999999999</v>
      </c>
      <c r="R7" s="2">
        <v>8.7149999999999999</v>
      </c>
      <c r="S7" s="2">
        <v>8.7027999999999999</v>
      </c>
      <c r="T7" s="2">
        <v>8.6922999999999995</v>
      </c>
      <c r="U7" s="2">
        <v>8.6829999999999998</v>
      </c>
      <c r="V7" s="2">
        <v>8.6745000000000001</v>
      </c>
      <c r="W7" s="2">
        <v>8.6669999999999998</v>
      </c>
      <c r="X7" s="2">
        <v>8.6601999999999997</v>
      </c>
    </row>
    <row r="8" spans="4:24" x14ac:dyDescent="0.2">
      <c r="D8" s="1">
        <v>4</v>
      </c>
      <c r="E8" s="2">
        <v>7.7087000000000003</v>
      </c>
      <c r="F8" s="2">
        <v>6.9443999999999999</v>
      </c>
      <c r="G8" s="2">
        <v>6.5914999999999999</v>
      </c>
      <c r="H8" s="2">
        <v>6.3882000000000003</v>
      </c>
      <c r="I8" s="2">
        <v>6.2561</v>
      </c>
      <c r="J8" s="2">
        <v>6.1631</v>
      </c>
      <c r="K8" s="2">
        <v>6.0942999999999996</v>
      </c>
      <c r="L8" s="2">
        <v>6.0411000000000001</v>
      </c>
      <c r="M8" s="2">
        <v>5.9988000000000001</v>
      </c>
      <c r="N8" s="2">
        <v>5.9644000000000004</v>
      </c>
      <c r="O8" s="2">
        <v>5.9359000000000002</v>
      </c>
      <c r="P8" s="2">
        <v>5.9116999999999997</v>
      </c>
      <c r="Q8" s="2">
        <v>5.8912000000000004</v>
      </c>
      <c r="R8" s="2">
        <v>5.8733000000000004</v>
      </c>
      <c r="S8" s="2">
        <v>5.8578000000000001</v>
      </c>
      <c r="T8" s="2">
        <v>5.8440000000000003</v>
      </c>
      <c r="U8" s="2">
        <v>5.8319000000000001</v>
      </c>
      <c r="V8" s="2">
        <v>5.8211000000000004</v>
      </c>
      <c r="W8" s="2">
        <v>5.8113000000000001</v>
      </c>
      <c r="X8" s="2">
        <v>5.8025000000000002</v>
      </c>
    </row>
    <row r="9" spans="4:24" x14ac:dyDescent="0.2">
      <c r="D9" s="1">
        <v>5</v>
      </c>
      <c r="E9" s="2">
        <v>6.6079999999999997</v>
      </c>
      <c r="F9" s="2">
        <v>5.7861000000000002</v>
      </c>
      <c r="G9" s="2">
        <v>5.4095000000000004</v>
      </c>
      <c r="H9" s="2">
        <v>5.1921999999999997</v>
      </c>
      <c r="I9" s="2">
        <v>5.0503</v>
      </c>
      <c r="J9" s="2">
        <v>4.9503000000000004</v>
      </c>
      <c r="K9" s="2">
        <v>4.8758999999999997</v>
      </c>
      <c r="L9" s="2">
        <v>4.8183999999999996</v>
      </c>
      <c r="M9" s="2">
        <v>4.7725</v>
      </c>
      <c r="N9" s="2">
        <v>4.7350000000000003</v>
      </c>
      <c r="O9" s="2">
        <v>4.7039</v>
      </c>
      <c r="P9" s="2">
        <v>4.6776999999999997</v>
      </c>
      <c r="Q9" s="2">
        <v>4.6551999999999998</v>
      </c>
      <c r="R9" s="2">
        <v>4.6357999999999997</v>
      </c>
      <c r="S9" s="2">
        <v>4.6186999999999996</v>
      </c>
      <c r="T9" s="2">
        <v>4.6037999999999997</v>
      </c>
      <c r="U9" s="2">
        <v>4.5903999999999998</v>
      </c>
      <c r="V9" s="2">
        <v>4.5785</v>
      </c>
      <c r="W9" s="2">
        <v>4.5678999999999998</v>
      </c>
      <c r="X9" s="2">
        <v>4.5580999999999996</v>
      </c>
    </row>
    <row r="10" spans="4:24" x14ac:dyDescent="0.2">
      <c r="D10" s="1">
        <v>6</v>
      </c>
      <c r="E10" s="2">
        <v>5.9874000000000001</v>
      </c>
      <c r="F10" s="2">
        <v>5.1433</v>
      </c>
      <c r="G10" s="2">
        <v>4.7569999999999997</v>
      </c>
      <c r="H10" s="2">
        <v>4.5336999999999996</v>
      </c>
      <c r="I10" s="2">
        <v>4.3874000000000004</v>
      </c>
      <c r="J10" s="2">
        <v>4.2838000000000003</v>
      </c>
      <c r="K10" s="2">
        <v>4.2066999999999997</v>
      </c>
      <c r="L10" s="2">
        <v>4.1467999999999998</v>
      </c>
      <c r="M10" s="2">
        <v>4.0990000000000002</v>
      </c>
      <c r="N10" s="2">
        <v>4.0599999999999996</v>
      </c>
      <c r="O10" s="2">
        <v>4.0274999999999999</v>
      </c>
      <c r="P10" s="2">
        <v>3.9998999999999998</v>
      </c>
      <c r="Q10" s="2">
        <v>3.9763999999999999</v>
      </c>
      <c r="R10" s="2">
        <v>3.956</v>
      </c>
      <c r="S10" s="2">
        <v>3.9380999999999999</v>
      </c>
      <c r="T10" s="2">
        <v>3.9222999999999999</v>
      </c>
      <c r="U10" s="2">
        <v>3.9083000000000001</v>
      </c>
      <c r="V10" s="2">
        <v>3.8957000000000002</v>
      </c>
      <c r="W10" s="2">
        <v>3.8843999999999999</v>
      </c>
      <c r="X10" s="2">
        <v>3.8742000000000001</v>
      </c>
    </row>
    <row r="11" spans="4:24" x14ac:dyDescent="0.2">
      <c r="D11" s="1">
        <v>7</v>
      </c>
      <c r="E11" s="2">
        <v>5.5914000000000001</v>
      </c>
      <c r="F11" s="2">
        <v>4.7374000000000001</v>
      </c>
      <c r="G11" s="2">
        <v>4.3468999999999998</v>
      </c>
      <c r="H11" s="2">
        <v>4.1204000000000001</v>
      </c>
      <c r="I11" s="2">
        <v>3.9714999999999998</v>
      </c>
      <c r="J11" s="2">
        <v>3.8660000000000001</v>
      </c>
      <c r="K11" s="2">
        <v>3.7869999999999999</v>
      </c>
      <c r="L11" s="2">
        <v>3.7256999999999998</v>
      </c>
      <c r="M11" s="2">
        <v>3.6766999999999999</v>
      </c>
      <c r="N11" s="2">
        <v>3.6366000000000001</v>
      </c>
      <c r="O11" s="2">
        <v>3.6030000000000002</v>
      </c>
      <c r="P11" s="2">
        <v>3.5747</v>
      </c>
      <c r="Q11" s="2">
        <v>3.5503999999999998</v>
      </c>
      <c r="R11" s="2">
        <v>3.5291999999999999</v>
      </c>
      <c r="S11" s="2">
        <v>3.5106999999999999</v>
      </c>
      <c r="T11" s="2">
        <v>3.4944000000000002</v>
      </c>
      <c r="U11" s="2">
        <v>3.4799000000000002</v>
      </c>
      <c r="V11" s="2">
        <v>3.4668999999999999</v>
      </c>
      <c r="W11" s="2">
        <v>3.4552</v>
      </c>
      <c r="X11" s="2">
        <v>3.4445000000000001</v>
      </c>
    </row>
    <row r="12" spans="4:24" x14ac:dyDescent="0.2">
      <c r="D12" s="1">
        <v>8</v>
      </c>
      <c r="E12" s="2">
        <v>5.3177000000000003</v>
      </c>
      <c r="F12" s="2">
        <v>4.4589999999999996</v>
      </c>
      <c r="G12" s="2">
        <v>4.0662000000000003</v>
      </c>
      <c r="H12" s="2">
        <v>3.8378000000000001</v>
      </c>
      <c r="I12" s="2">
        <v>3.6875</v>
      </c>
      <c r="J12" s="2">
        <v>3.5806</v>
      </c>
      <c r="K12" s="2">
        <v>3.5004</v>
      </c>
      <c r="L12" s="2">
        <v>3.4380999999999999</v>
      </c>
      <c r="M12" s="2">
        <v>3.3881000000000001</v>
      </c>
      <c r="N12" s="2">
        <v>3.3472</v>
      </c>
      <c r="O12" s="2">
        <v>3.3130000000000002</v>
      </c>
      <c r="P12" s="2">
        <v>3.2839</v>
      </c>
      <c r="Q12" s="2">
        <v>3.2589999999999999</v>
      </c>
      <c r="R12" s="2">
        <v>3.2374000000000001</v>
      </c>
      <c r="S12" s="2">
        <v>3.2183999999999999</v>
      </c>
      <c r="T12" s="2">
        <v>3.2017000000000002</v>
      </c>
      <c r="U12" s="2">
        <v>3.1867000000000001</v>
      </c>
      <c r="V12" s="2">
        <v>3.1732999999999998</v>
      </c>
      <c r="W12" s="2">
        <v>3.1613000000000002</v>
      </c>
      <c r="X12" s="2">
        <v>3.1503000000000001</v>
      </c>
    </row>
    <row r="13" spans="4:24" x14ac:dyDescent="0.2">
      <c r="D13" s="1">
        <v>9</v>
      </c>
      <c r="E13" s="2">
        <v>5.1173999999999999</v>
      </c>
      <c r="F13" s="2">
        <v>4.2565</v>
      </c>
      <c r="G13" s="2">
        <v>3.8626</v>
      </c>
      <c r="H13" s="2">
        <v>3.6331000000000002</v>
      </c>
      <c r="I13" s="2">
        <v>3.4817</v>
      </c>
      <c r="J13" s="2">
        <v>3.3738000000000001</v>
      </c>
      <c r="K13" s="2">
        <v>3.2928000000000002</v>
      </c>
      <c r="L13" s="2">
        <v>3.2296</v>
      </c>
      <c r="M13" s="2">
        <v>3.1789000000000001</v>
      </c>
      <c r="N13" s="2">
        <v>3.1373000000000002</v>
      </c>
      <c r="O13" s="2">
        <v>3.1025</v>
      </c>
      <c r="P13" s="2">
        <v>3.0729000000000002</v>
      </c>
      <c r="Q13" s="2">
        <v>3.0474999999999999</v>
      </c>
      <c r="R13" s="2">
        <v>3.0255000000000001</v>
      </c>
      <c r="S13" s="2">
        <v>3.0061</v>
      </c>
      <c r="T13" s="2">
        <v>2.9889999999999999</v>
      </c>
      <c r="U13" s="2">
        <v>2.9737</v>
      </c>
      <c r="V13" s="2">
        <v>2.96</v>
      </c>
      <c r="W13" s="2">
        <v>2.9476</v>
      </c>
      <c r="X13" s="2">
        <v>2.9365000000000001</v>
      </c>
    </row>
    <row r="14" spans="4:24" x14ac:dyDescent="0.2">
      <c r="D14" s="1">
        <v>10</v>
      </c>
      <c r="E14" s="2">
        <v>4.9646999999999997</v>
      </c>
      <c r="F14" s="2">
        <v>4.1028000000000002</v>
      </c>
      <c r="G14" s="2">
        <v>3.7082999999999999</v>
      </c>
      <c r="H14" s="2">
        <v>3.4781</v>
      </c>
      <c r="I14" s="2">
        <v>3.3258000000000001</v>
      </c>
      <c r="J14" s="2">
        <v>3.2170999999999998</v>
      </c>
      <c r="K14" s="2">
        <v>3.1355</v>
      </c>
      <c r="L14" s="2">
        <v>3.0716999999999999</v>
      </c>
      <c r="M14" s="2">
        <v>3.0204</v>
      </c>
      <c r="N14" s="2">
        <v>2.9782000000000002</v>
      </c>
      <c r="O14" s="2">
        <v>2.9428999999999998</v>
      </c>
      <c r="P14" s="2">
        <v>2.9129999999999998</v>
      </c>
      <c r="Q14" s="2">
        <v>2.8872</v>
      </c>
      <c r="R14" s="2">
        <v>2.8647999999999998</v>
      </c>
      <c r="S14" s="2">
        <v>2.8450000000000002</v>
      </c>
      <c r="T14" s="2">
        <v>2.8275999999999999</v>
      </c>
      <c r="U14" s="2">
        <v>2.8119999999999998</v>
      </c>
      <c r="V14" s="2">
        <v>2.7980999999999998</v>
      </c>
      <c r="W14" s="2">
        <v>2.7854999999999999</v>
      </c>
      <c r="X14" s="2">
        <v>2.774</v>
      </c>
    </row>
    <row r="15" spans="4:24" x14ac:dyDescent="0.2">
      <c r="D15" s="1">
        <v>11</v>
      </c>
      <c r="E15" s="2">
        <v>4.8442999999999996</v>
      </c>
      <c r="F15" s="2">
        <v>3.9823</v>
      </c>
      <c r="G15" s="2">
        <v>3.5874999999999999</v>
      </c>
      <c r="H15" s="2">
        <v>3.3567</v>
      </c>
      <c r="I15" s="2">
        <v>3.2039</v>
      </c>
      <c r="J15" s="2">
        <v>3.0945999999999998</v>
      </c>
      <c r="K15" s="2">
        <v>3.0123000000000002</v>
      </c>
      <c r="L15" s="2">
        <v>2.948</v>
      </c>
      <c r="M15" s="2">
        <v>2.8961999999999999</v>
      </c>
      <c r="N15" s="2">
        <v>2.8536000000000001</v>
      </c>
      <c r="O15" s="2">
        <v>2.8178999999999998</v>
      </c>
      <c r="P15" s="2">
        <v>2.7875999999999999</v>
      </c>
      <c r="Q15" s="2">
        <v>2.7614000000000001</v>
      </c>
      <c r="R15" s="2">
        <v>2.7385999999999999</v>
      </c>
      <c r="S15" s="2">
        <v>2.7185999999999999</v>
      </c>
      <c r="T15" s="2">
        <v>2.7008999999999999</v>
      </c>
      <c r="U15" s="2">
        <v>2.6850999999999998</v>
      </c>
      <c r="V15" s="2">
        <v>2.6709000000000001</v>
      </c>
      <c r="W15" s="2">
        <v>2.6581000000000001</v>
      </c>
      <c r="X15" s="2">
        <v>2.6463999999999999</v>
      </c>
    </row>
    <row r="16" spans="4:24" x14ac:dyDescent="0.2">
      <c r="D16" s="1">
        <v>12</v>
      </c>
      <c r="E16" s="2">
        <v>4.7472000000000003</v>
      </c>
      <c r="F16" s="2">
        <v>3.8853</v>
      </c>
      <c r="G16" s="2">
        <v>3.4903</v>
      </c>
      <c r="H16" s="2">
        <v>3.2591999999999999</v>
      </c>
      <c r="I16" s="2">
        <v>3.1059000000000001</v>
      </c>
      <c r="J16" s="2">
        <v>2.9961000000000002</v>
      </c>
      <c r="K16" s="2">
        <v>2.9134000000000002</v>
      </c>
      <c r="L16" s="2">
        <v>2.8485999999999998</v>
      </c>
      <c r="M16" s="2">
        <v>2.7964000000000002</v>
      </c>
      <c r="N16" s="2">
        <v>2.7534000000000001</v>
      </c>
      <c r="O16" s="2">
        <v>2.7172999999999998</v>
      </c>
      <c r="P16" s="2">
        <v>2.6865999999999999</v>
      </c>
      <c r="Q16" s="2">
        <v>2.6602000000000001</v>
      </c>
      <c r="R16" s="2">
        <v>2.6371000000000002</v>
      </c>
      <c r="S16" s="2">
        <v>2.6168999999999998</v>
      </c>
      <c r="T16" s="2">
        <v>2.5989</v>
      </c>
      <c r="U16" s="2">
        <v>2.5828000000000002</v>
      </c>
      <c r="V16" s="2">
        <v>2.5684</v>
      </c>
      <c r="W16" s="2">
        <v>2.5554000000000001</v>
      </c>
      <c r="X16" s="2">
        <v>2.5436000000000001</v>
      </c>
    </row>
    <row r="17" spans="4:24" x14ac:dyDescent="0.2">
      <c r="D17" s="1">
        <v>13</v>
      </c>
      <c r="E17" s="2">
        <v>4.6672000000000002</v>
      </c>
      <c r="F17" s="2">
        <v>3.8054999999999999</v>
      </c>
      <c r="G17" s="2">
        <v>3.4106000000000001</v>
      </c>
      <c r="H17" s="2">
        <v>3.1791</v>
      </c>
      <c r="I17" s="2">
        <v>3.0255000000000001</v>
      </c>
      <c r="J17" s="2">
        <v>2.9152999999999998</v>
      </c>
      <c r="K17" s="2">
        <v>2.8321000000000001</v>
      </c>
      <c r="L17" s="2">
        <v>2.7669000000000001</v>
      </c>
      <c r="M17" s="2">
        <v>2.7143999999999999</v>
      </c>
      <c r="N17" s="2">
        <v>2.6711</v>
      </c>
      <c r="O17" s="2">
        <v>2.6347</v>
      </c>
      <c r="P17" s="2">
        <v>2.6036999999999999</v>
      </c>
      <c r="Q17" s="2">
        <v>2.5769000000000002</v>
      </c>
      <c r="R17" s="2">
        <v>2.5535999999999999</v>
      </c>
      <c r="S17" s="2">
        <v>2.5331000000000001</v>
      </c>
      <c r="T17" s="2">
        <v>2.5148999999999999</v>
      </c>
      <c r="U17" s="2">
        <v>2.4986999999999999</v>
      </c>
      <c r="V17" s="2">
        <v>2.4841000000000002</v>
      </c>
      <c r="W17" s="2">
        <v>2.4708999999999999</v>
      </c>
      <c r="X17" s="2">
        <v>2.4588999999999999</v>
      </c>
    </row>
    <row r="18" spans="4:24" x14ac:dyDescent="0.2">
      <c r="D18" s="1">
        <v>14</v>
      </c>
      <c r="E18" s="2">
        <v>4.6001000000000003</v>
      </c>
      <c r="F18" s="2">
        <v>3.7389000000000001</v>
      </c>
      <c r="G18" s="2">
        <v>3.3439000000000001</v>
      </c>
      <c r="H18" s="2">
        <v>3.1122000000000001</v>
      </c>
      <c r="I18" s="2">
        <v>2.9582000000000002</v>
      </c>
      <c r="J18" s="2">
        <v>2.8477000000000001</v>
      </c>
      <c r="K18" s="2">
        <v>2.7642000000000002</v>
      </c>
      <c r="L18" s="2">
        <v>2.6987000000000001</v>
      </c>
      <c r="M18" s="2">
        <v>2.6457999999999999</v>
      </c>
      <c r="N18" s="2">
        <v>2.6021000000000001</v>
      </c>
      <c r="O18" s="2">
        <v>2.5655000000000001</v>
      </c>
      <c r="P18" s="2">
        <v>2.5343</v>
      </c>
      <c r="Q18" s="2">
        <v>2.5072999999999999</v>
      </c>
      <c r="R18" s="2">
        <v>2.4836999999999998</v>
      </c>
      <c r="S18" s="2">
        <v>2.4630000000000001</v>
      </c>
      <c r="T18" s="2">
        <v>2.4445999999999999</v>
      </c>
      <c r="U18" s="2">
        <v>2.4281999999999999</v>
      </c>
      <c r="V18" s="2">
        <v>2.4134000000000002</v>
      </c>
      <c r="W18" s="2">
        <v>2.4</v>
      </c>
      <c r="X18" s="2">
        <v>2.3879000000000001</v>
      </c>
    </row>
    <row r="19" spans="4:24" x14ac:dyDescent="0.2">
      <c r="D19" s="1">
        <v>15</v>
      </c>
      <c r="E19" s="2">
        <v>4.5430000000000001</v>
      </c>
      <c r="F19" s="2">
        <v>3.6823999999999999</v>
      </c>
      <c r="G19" s="2">
        <v>3.2873999999999999</v>
      </c>
      <c r="H19" s="2">
        <v>3.0554999999999999</v>
      </c>
      <c r="I19" s="2">
        <v>2.9013</v>
      </c>
      <c r="J19" s="2">
        <v>2.7905000000000002</v>
      </c>
      <c r="K19" s="2">
        <v>2.7065999999999999</v>
      </c>
      <c r="L19" s="2">
        <v>2.6408</v>
      </c>
      <c r="M19" s="2">
        <v>2.5876999999999999</v>
      </c>
      <c r="N19" s="2">
        <v>2.5436999999999999</v>
      </c>
      <c r="O19" s="2">
        <v>2.5068000000000001</v>
      </c>
      <c r="P19" s="2">
        <v>2.4752999999999998</v>
      </c>
      <c r="Q19" s="2">
        <v>2.4481000000000002</v>
      </c>
      <c r="R19" s="2">
        <v>2.4243999999999999</v>
      </c>
      <c r="S19" s="2">
        <v>2.4034</v>
      </c>
      <c r="T19" s="2">
        <v>2.3849</v>
      </c>
      <c r="U19" s="2">
        <v>2.3683000000000001</v>
      </c>
      <c r="V19" s="2">
        <v>2.3532999999999999</v>
      </c>
      <c r="W19" s="2">
        <v>2.3397999999999999</v>
      </c>
      <c r="X19" s="2">
        <v>2.3275000000000001</v>
      </c>
    </row>
    <row r="20" spans="4:24" x14ac:dyDescent="0.2">
      <c r="D20" s="1">
        <v>16</v>
      </c>
      <c r="E20" s="2">
        <v>4.4939999999999998</v>
      </c>
      <c r="F20" s="2">
        <v>3.6337000000000002</v>
      </c>
      <c r="G20" s="2">
        <v>3.2389000000000001</v>
      </c>
      <c r="H20" s="2">
        <v>3.0068999999999999</v>
      </c>
      <c r="I20" s="2">
        <v>2.8523999999999998</v>
      </c>
      <c r="J20" s="2">
        <v>2.7412999999999998</v>
      </c>
      <c r="K20" s="2">
        <v>2.6572</v>
      </c>
      <c r="L20" s="2">
        <v>2.5911</v>
      </c>
      <c r="M20" s="2">
        <v>2.5377000000000001</v>
      </c>
      <c r="N20" s="2">
        <v>2.4935</v>
      </c>
      <c r="O20" s="2">
        <v>2.4563999999999999</v>
      </c>
      <c r="P20" s="2">
        <v>2.4247000000000001</v>
      </c>
      <c r="Q20" s="2">
        <v>2.3973</v>
      </c>
      <c r="R20" s="2">
        <v>2.3733</v>
      </c>
      <c r="S20" s="2">
        <v>2.3521999999999998</v>
      </c>
      <c r="T20" s="2">
        <v>2.3334999999999999</v>
      </c>
      <c r="U20" s="2">
        <v>2.3167</v>
      </c>
      <c r="V20" s="2">
        <v>2.3016000000000001</v>
      </c>
      <c r="W20" s="2">
        <v>2.2879999999999998</v>
      </c>
      <c r="X20" s="2">
        <v>2.2755999999999998</v>
      </c>
    </row>
    <row r="21" spans="4:24" x14ac:dyDescent="0.2">
      <c r="D21" s="1">
        <v>17</v>
      </c>
      <c r="E21" s="2">
        <v>4.4512999999999998</v>
      </c>
      <c r="F21" s="2">
        <v>3.5916000000000001</v>
      </c>
      <c r="G21" s="2">
        <v>3.1968000000000001</v>
      </c>
      <c r="H21" s="2">
        <v>2.9647000000000001</v>
      </c>
      <c r="I21" s="2">
        <v>2.81</v>
      </c>
      <c r="J21" s="2">
        <v>2.6987000000000001</v>
      </c>
      <c r="K21" s="2">
        <v>2.6143000000000001</v>
      </c>
      <c r="L21" s="2">
        <v>2.548</v>
      </c>
      <c r="M21" s="2">
        <v>2.4943</v>
      </c>
      <c r="N21" s="2">
        <v>2.4499</v>
      </c>
      <c r="O21" s="2">
        <v>2.4125999999999999</v>
      </c>
      <c r="P21" s="2">
        <v>2.3807</v>
      </c>
      <c r="Q21" s="2">
        <v>2.3531</v>
      </c>
      <c r="R21" s="2">
        <v>2.3290000000000002</v>
      </c>
      <c r="S21" s="2">
        <v>2.3077000000000001</v>
      </c>
      <c r="T21" s="2">
        <v>2.2888000000000002</v>
      </c>
      <c r="U21" s="2">
        <v>2.2719</v>
      </c>
      <c r="V21" s="2">
        <v>2.2566999999999999</v>
      </c>
      <c r="W21" s="2">
        <v>2.2429000000000001</v>
      </c>
      <c r="X21" s="2">
        <v>2.2303000000000002</v>
      </c>
    </row>
    <row r="22" spans="4:24" x14ac:dyDescent="0.2">
      <c r="D22" s="1">
        <v>18</v>
      </c>
      <c r="E22" s="2">
        <v>4.4138999999999999</v>
      </c>
      <c r="F22" s="2">
        <v>3.5546000000000002</v>
      </c>
      <c r="G22" s="2">
        <v>3.1598999999999999</v>
      </c>
      <c r="H22" s="2">
        <v>2.9278</v>
      </c>
      <c r="I22" s="2">
        <v>2.7728999999999999</v>
      </c>
      <c r="J22" s="2">
        <v>2.6613000000000002</v>
      </c>
      <c r="K22" s="2">
        <v>2.5767000000000002</v>
      </c>
      <c r="L22" s="2">
        <v>2.5102000000000002</v>
      </c>
      <c r="M22" s="2">
        <v>2.4563000000000001</v>
      </c>
      <c r="N22" s="2">
        <v>2.4117000000000002</v>
      </c>
      <c r="O22" s="2">
        <v>2.3742000000000001</v>
      </c>
      <c r="P22" s="2">
        <v>2.3420999999999998</v>
      </c>
      <c r="Q22" s="2">
        <v>2.3142999999999998</v>
      </c>
      <c r="R22" s="2">
        <v>2.29</v>
      </c>
      <c r="S22" s="2">
        <v>2.2686000000000002</v>
      </c>
      <c r="T22" s="2">
        <v>2.2496</v>
      </c>
      <c r="U22" s="2">
        <v>2.2324999999999999</v>
      </c>
      <c r="V22" s="2">
        <v>2.2172000000000001</v>
      </c>
      <c r="W22" s="2">
        <v>2.2033</v>
      </c>
      <c r="X22" s="2">
        <v>2.1905999999999999</v>
      </c>
    </row>
    <row r="23" spans="4:24" x14ac:dyDescent="0.2">
      <c r="D23" s="1">
        <v>19</v>
      </c>
      <c r="E23" s="2">
        <v>4.3807999999999998</v>
      </c>
      <c r="F23" s="2">
        <v>3.5219</v>
      </c>
      <c r="G23" s="2">
        <v>3.1274000000000002</v>
      </c>
      <c r="H23" s="2">
        <v>2.8950999999999998</v>
      </c>
      <c r="I23" s="2">
        <v>2.7401</v>
      </c>
      <c r="J23" s="2">
        <v>2.6282999999999999</v>
      </c>
      <c r="K23" s="2">
        <v>2.5434999999999999</v>
      </c>
      <c r="L23" s="2">
        <v>2.4767999999999999</v>
      </c>
      <c r="M23" s="2">
        <v>2.4226999999999999</v>
      </c>
      <c r="N23" s="2">
        <v>2.3780000000000001</v>
      </c>
      <c r="O23" s="2">
        <v>2.3401999999999998</v>
      </c>
      <c r="P23" s="2">
        <v>2.3079999999999998</v>
      </c>
      <c r="Q23" s="2">
        <v>2.2799999999999998</v>
      </c>
      <c r="R23" s="2">
        <v>2.2555999999999998</v>
      </c>
      <c r="S23" s="2">
        <v>2.2341000000000002</v>
      </c>
      <c r="T23" s="2">
        <v>2.2149000000000001</v>
      </c>
      <c r="U23" s="2">
        <v>2.1977000000000002</v>
      </c>
      <c r="V23" s="2">
        <v>2.1823000000000001</v>
      </c>
      <c r="W23" s="2">
        <v>2.1682999999999999</v>
      </c>
      <c r="X23" s="2">
        <v>2.1555</v>
      </c>
    </row>
    <row r="24" spans="4:24" x14ac:dyDescent="0.2">
      <c r="D24" s="1">
        <v>20</v>
      </c>
      <c r="E24" s="2">
        <v>4.3512000000000004</v>
      </c>
      <c r="F24" s="2">
        <v>3.4927999999999999</v>
      </c>
      <c r="G24" s="2">
        <v>3.0983999999999998</v>
      </c>
      <c r="H24" s="2">
        <v>2.8660999999999999</v>
      </c>
      <c r="I24" s="2">
        <v>2.7109000000000001</v>
      </c>
      <c r="J24" s="2">
        <v>2.5990000000000002</v>
      </c>
      <c r="K24" s="2">
        <v>2.5139999999999998</v>
      </c>
      <c r="L24" s="2">
        <v>2.4470999999999998</v>
      </c>
      <c r="M24" s="2">
        <v>2.3927999999999998</v>
      </c>
      <c r="N24" s="2">
        <v>2.3479000000000001</v>
      </c>
      <c r="O24" s="2">
        <v>2.31</v>
      </c>
      <c r="P24" s="2">
        <v>2.2776000000000001</v>
      </c>
      <c r="Q24" s="2">
        <v>2.2494999999999998</v>
      </c>
      <c r="R24" s="2">
        <v>2.2248999999999999</v>
      </c>
      <c r="S24" s="2">
        <v>2.2033</v>
      </c>
      <c r="T24" s="2">
        <v>2.1840000000000002</v>
      </c>
      <c r="U24" s="2">
        <v>2.1667000000000001</v>
      </c>
      <c r="V24" s="2">
        <v>2.1511</v>
      </c>
      <c r="W24" s="2">
        <v>2.137</v>
      </c>
      <c r="X24" s="2">
        <v>2.1242000000000001</v>
      </c>
    </row>
  </sheetData>
  <customSheetViews>
    <customSheetView guid="{373B6099-BBFB-4C6F-8508-763C02BEB895}">
      <selection activeCell="N6" sqref="N6"/>
      <pageMargins left="0.7" right="0.7" top="0.75" bottom="0.75" header="0.3" footer="0.3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X226"/>
  <sheetViews>
    <sheetView topLeftCell="A100" workbookViewId="0">
      <selection activeCell="C26" sqref="C26"/>
    </sheetView>
  </sheetViews>
  <sheetFormatPr defaultColWidth="8.85546875" defaultRowHeight="12.75" x14ac:dyDescent="0.2"/>
  <sheetData>
    <row r="5" spans="4:24" x14ac:dyDescent="0.2">
      <c r="D5" s="1" t="s">
        <v>10</v>
      </c>
      <c r="E5" s="1">
        <v>1</v>
      </c>
      <c r="F5" s="1">
        <v>2</v>
      </c>
      <c r="G5" s="1">
        <v>3</v>
      </c>
      <c r="H5" s="1">
        <v>4</v>
      </c>
      <c r="I5" s="1">
        <v>5</v>
      </c>
      <c r="J5" s="1">
        <v>6</v>
      </c>
      <c r="K5" s="1">
        <v>7</v>
      </c>
      <c r="L5" s="1">
        <v>8</v>
      </c>
      <c r="M5" s="1">
        <v>9</v>
      </c>
      <c r="N5" s="1">
        <v>10</v>
      </c>
      <c r="O5" s="1">
        <v>11</v>
      </c>
      <c r="P5" s="1">
        <v>12</v>
      </c>
      <c r="Q5" s="1">
        <v>13</v>
      </c>
      <c r="R5" s="1">
        <v>14</v>
      </c>
      <c r="S5" s="1">
        <v>15</v>
      </c>
      <c r="T5" s="1">
        <v>16</v>
      </c>
      <c r="U5" s="1">
        <v>17</v>
      </c>
      <c r="V5" s="1">
        <v>18</v>
      </c>
      <c r="W5" s="1">
        <v>19</v>
      </c>
      <c r="X5" s="1">
        <v>20</v>
      </c>
    </row>
    <row r="6" spans="4:24" x14ac:dyDescent="0.2">
      <c r="D6" s="1" t="s">
        <v>11</v>
      </c>
      <c r="E6" s="1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4:24" x14ac:dyDescent="0.2">
      <c r="D7" s="1">
        <v>1</v>
      </c>
      <c r="E7" s="2">
        <v>161.46899999999999</v>
      </c>
      <c r="F7" s="2">
        <v>199.49299999999999</v>
      </c>
      <c r="G7" s="2">
        <v>215.73699999999999</v>
      </c>
      <c r="H7" s="2">
        <v>224.5</v>
      </c>
      <c r="I7" s="2">
        <v>230.066</v>
      </c>
      <c r="J7" s="2">
        <v>234.001</v>
      </c>
      <c r="K7" s="2">
        <v>236.77199999999999</v>
      </c>
      <c r="L7" s="2">
        <v>238.94900000000001</v>
      </c>
      <c r="M7" s="2">
        <v>240.49600000000001</v>
      </c>
      <c r="N7" s="2">
        <v>241.83799999999999</v>
      </c>
      <c r="O7" s="2">
        <v>242.96799999999999</v>
      </c>
      <c r="P7" s="2">
        <v>243.88</v>
      </c>
      <c r="Q7" s="2">
        <v>244.798</v>
      </c>
      <c r="R7" s="2">
        <v>245.26</v>
      </c>
      <c r="S7" s="2">
        <v>245.95599999999999</v>
      </c>
      <c r="T7" s="2">
        <v>246.422</v>
      </c>
      <c r="U7" s="2">
        <v>246.89</v>
      </c>
      <c r="V7" s="2">
        <v>247.36</v>
      </c>
      <c r="W7" s="2">
        <v>247.596</v>
      </c>
      <c r="X7" s="2">
        <v>248.06800000000001</v>
      </c>
    </row>
    <row r="8" spans="4:24" x14ac:dyDescent="0.2">
      <c r="D8" s="1">
        <v>2</v>
      </c>
      <c r="E8" s="2">
        <v>18.512799999999999</v>
      </c>
      <c r="F8" s="2">
        <v>18.999500000000001</v>
      </c>
      <c r="G8" s="2">
        <v>19.164200000000001</v>
      </c>
      <c r="H8" s="2">
        <v>19.246700000000001</v>
      </c>
      <c r="I8" s="2">
        <v>19.296900000000001</v>
      </c>
      <c r="J8" s="2">
        <v>19.329899999999999</v>
      </c>
      <c r="K8" s="2">
        <v>19.3536</v>
      </c>
      <c r="L8" s="2">
        <v>19.370999999999999</v>
      </c>
      <c r="M8" s="2">
        <v>19.385200000000001</v>
      </c>
      <c r="N8" s="2">
        <v>19.3963</v>
      </c>
      <c r="O8" s="2">
        <v>19.404299999999999</v>
      </c>
      <c r="P8" s="2">
        <v>19.412199999999999</v>
      </c>
      <c r="Q8" s="2">
        <v>19.418600000000001</v>
      </c>
      <c r="R8" s="2">
        <v>19.425000000000001</v>
      </c>
      <c r="S8" s="2">
        <v>19.4297</v>
      </c>
      <c r="T8" s="2">
        <v>19.4329</v>
      </c>
      <c r="U8" s="2">
        <v>19.4377</v>
      </c>
      <c r="V8" s="2">
        <v>19.440899999999999</v>
      </c>
      <c r="W8" s="2">
        <v>19.442499999999999</v>
      </c>
      <c r="X8" s="2">
        <v>19.445699999999999</v>
      </c>
    </row>
    <row r="9" spans="4:24" x14ac:dyDescent="0.2">
      <c r="D9" s="1">
        <v>3</v>
      </c>
      <c r="E9" s="2">
        <v>10.127800000000001</v>
      </c>
      <c r="F9" s="2">
        <v>9.5521999999999991</v>
      </c>
      <c r="G9" s="2">
        <v>9.2766999999999999</v>
      </c>
      <c r="H9" s="2">
        <v>9.1173000000000002</v>
      </c>
      <c r="I9" s="2">
        <v>9.0132999999999992</v>
      </c>
      <c r="J9" s="2">
        <v>8.9407999999999994</v>
      </c>
      <c r="K9" s="2">
        <v>8.8867999999999991</v>
      </c>
      <c r="L9" s="2">
        <v>8.8452000000000002</v>
      </c>
      <c r="M9" s="2">
        <v>8.8124000000000002</v>
      </c>
      <c r="N9" s="2">
        <v>8.7857000000000003</v>
      </c>
      <c r="O9" s="2">
        <v>8.7635000000000005</v>
      </c>
      <c r="P9" s="2">
        <v>8.7446000000000002</v>
      </c>
      <c r="Q9" s="2">
        <v>8.7286999999999999</v>
      </c>
      <c r="R9" s="2">
        <v>8.7149999999999999</v>
      </c>
      <c r="S9" s="2">
        <v>8.7027999999999999</v>
      </c>
      <c r="T9" s="2">
        <v>8.6922999999999995</v>
      </c>
      <c r="U9" s="2">
        <v>8.6829999999999998</v>
      </c>
      <c r="V9" s="2">
        <v>8.6745000000000001</v>
      </c>
      <c r="W9" s="2">
        <v>8.6669999999999998</v>
      </c>
      <c r="X9" s="2">
        <v>8.6601999999999997</v>
      </c>
    </row>
    <row r="10" spans="4:24" x14ac:dyDescent="0.2">
      <c r="D10" s="1">
        <v>4</v>
      </c>
      <c r="E10" s="2">
        <v>7.7087000000000003</v>
      </c>
      <c r="F10" s="2">
        <v>6.9443999999999999</v>
      </c>
      <c r="G10" s="2">
        <v>6.5914999999999999</v>
      </c>
      <c r="H10" s="2">
        <v>6.3882000000000003</v>
      </c>
      <c r="I10" s="2">
        <v>6.2561</v>
      </c>
      <c r="J10" s="2">
        <v>6.1631</v>
      </c>
      <c r="K10" s="2">
        <v>6.0942999999999996</v>
      </c>
      <c r="L10" s="2">
        <v>6.0411000000000001</v>
      </c>
      <c r="M10" s="2">
        <v>5.9988000000000001</v>
      </c>
      <c r="N10" s="2">
        <v>5.9644000000000004</v>
      </c>
      <c r="O10" s="2">
        <v>5.9359000000000002</v>
      </c>
      <c r="P10" s="2">
        <v>5.9116999999999997</v>
      </c>
      <c r="Q10" s="2">
        <v>5.8912000000000004</v>
      </c>
      <c r="R10" s="2">
        <v>5.8733000000000004</v>
      </c>
      <c r="S10" s="2">
        <v>5.8578000000000001</v>
      </c>
      <c r="T10" s="2">
        <v>5.8440000000000003</v>
      </c>
      <c r="U10" s="2">
        <v>5.8319000000000001</v>
      </c>
      <c r="V10" s="2">
        <v>5.8211000000000004</v>
      </c>
      <c r="W10" s="2">
        <v>5.8113000000000001</v>
      </c>
      <c r="X10" s="2">
        <v>5.8025000000000002</v>
      </c>
    </row>
    <row r="11" spans="4:24" x14ac:dyDescent="0.2">
      <c r="D11" s="1">
        <v>5</v>
      </c>
      <c r="E11" s="2">
        <v>6.6079999999999997</v>
      </c>
      <c r="F11" s="2">
        <v>5.7861000000000002</v>
      </c>
      <c r="G11" s="2">
        <v>5.4095000000000004</v>
      </c>
      <c r="H11" s="2">
        <v>5.1921999999999997</v>
      </c>
      <c r="I11" s="2">
        <v>5.0503</v>
      </c>
      <c r="J11" s="2">
        <v>4.9503000000000004</v>
      </c>
      <c r="K11" s="2">
        <v>4.8758999999999997</v>
      </c>
      <c r="L11" s="2">
        <v>4.8183999999999996</v>
      </c>
      <c r="M11" s="2">
        <v>4.7725</v>
      </c>
      <c r="N11" s="2">
        <v>4.7350000000000003</v>
      </c>
      <c r="O11" s="2">
        <v>4.7039</v>
      </c>
      <c r="P11" s="2">
        <v>4.6776999999999997</v>
      </c>
      <c r="Q11" s="2">
        <v>4.6551999999999998</v>
      </c>
      <c r="R11" s="2">
        <v>4.6357999999999997</v>
      </c>
      <c r="S11" s="2">
        <v>4.6186999999999996</v>
      </c>
      <c r="T11" s="2">
        <v>4.6037999999999997</v>
      </c>
      <c r="U11" s="2">
        <v>4.5903999999999998</v>
      </c>
      <c r="V11" s="2">
        <v>4.5785</v>
      </c>
      <c r="W11" s="2">
        <v>4.5678999999999998</v>
      </c>
      <c r="X11" s="2">
        <v>4.5580999999999996</v>
      </c>
    </row>
    <row r="12" spans="4:24" x14ac:dyDescent="0.2">
      <c r="D12" s="1">
        <v>6</v>
      </c>
      <c r="E12" s="2">
        <v>5.9874000000000001</v>
      </c>
      <c r="F12" s="2">
        <v>5.1433</v>
      </c>
      <c r="G12" s="2">
        <v>4.7569999999999997</v>
      </c>
      <c r="H12" s="2">
        <v>4.5336999999999996</v>
      </c>
      <c r="I12" s="2">
        <v>4.3874000000000004</v>
      </c>
      <c r="J12" s="2">
        <v>4.2838000000000003</v>
      </c>
      <c r="K12" s="2">
        <v>4.2066999999999997</v>
      </c>
      <c r="L12" s="2">
        <v>4.1467999999999998</v>
      </c>
      <c r="M12" s="2">
        <v>4.0990000000000002</v>
      </c>
      <c r="N12" s="2">
        <v>4.0599999999999996</v>
      </c>
      <c r="O12" s="2">
        <v>4.0274999999999999</v>
      </c>
      <c r="P12" s="2">
        <v>3.9998999999999998</v>
      </c>
      <c r="Q12" s="2">
        <v>3.9763999999999999</v>
      </c>
      <c r="R12" s="2">
        <v>3.956</v>
      </c>
      <c r="S12" s="2">
        <v>3.9380999999999999</v>
      </c>
      <c r="T12" s="2">
        <v>3.9222999999999999</v>
      </c>
      <c r="U12" s="2">
        <v>3.9083000000000001</v>
      </c>
      <c r="V12" s="2">
        <v>3.8957000000000002</v>
      </c>
      <c r="W12" s="2">
        <v>3.8843999999999999</v>
      </c>
      <c r="X12" s="2">
        <v>3.8742000000000001</v>
      </c>
    </row>
    <row r="13" spans="4:24" x14ac:dyDescent="0.2">
      <c r="D13" s="1">
        <v>7</v>
      </c>
      <c r="E13" s="2">
        <v>5.5914000000000001</v>
      </c>
      <c r="F13" s="2">
        <v>4.7374000000000001</v>
      </c>
      <c r="G13" s="2">
        <v>4.3468999999999998</v>
      </c>
      <c r="H13" s="2">
        <v>4.1204000000000001</v>
      </c>
      <c r="I13" s="2">
        <v>3.9714999999999998</v>
      </c>
      <c r="J13" s="2">
        <v>3.8660000000000001</v>
      </c>
      <c r="K13" s="2">
        <v>3.7869999999999999</v>
      </c>
      <c r="L13" s="2">
        <v>3.7256999999999998</v>
      </c>
      <c r="M13" s="2">
        <v>3.6766999999999999</v>
      </c>
      <c r="N13" s="2">
        <v>3.6366000000000001</v>
      </c>
      <c r="O13" s="2">
        <v>3.6030000000000002</v>
      </c>
      <c r="P13" s="2">
        <v>3.5747</v>
      </c>
      <c r="Q13" s="2">
        <v>3.5503999999999998</v>
      </c>
      <c r="R13" s="2">
        <v>3.5291999999999999</v>
      </c>
      <c r="S13" s="2">
        <v>3.5106999999999999</v>
      </c>
      <c r="T13" s="2">
        <v>3.4944000000000002</v>
      </c>
      <c r="U13" s="2">
        <v>3.4799000000000002</v>
      </c>
      <c r="V13" s="2">
        <v>3.4668999999999999</v>
      </c>
      <c r="W13" s="2">
        <v>3.4552</v>
      </c>
      <c r="X13" s="2">
        <v>3.4445000000000001</v>
      </c>
    </row>
    <row r="14" spans="4:24" x14ac:dyDescent="0.2">
      <c r="D14" s="1">
        <v>8</v>
      </c>
      <c r="E14" s="2">
        <v>5.3177000000000003</v>
      </c>
      <c r="F14" s="2">
        <v>4.4589999999999996</v>
      </c>
      <c r="G14" s="2">
        <v>4.0662000000000003</v>
      </c>
      <c r="H14" s="2">
        <v>3.8378000000000001</v>
      </c>
      <c r="I14" s="2">
        <v>3.6875</v>
      </c>
      <c r="J14" s="2">
        <v>3.5806</v>
      </c>
      <c r="K14" s="2">
        <v>3.5004</v>
      </c>
      <c r="L14" s="2">
        <v>3.4380999999999999</v>
      </c>
      <c r="M14" s="2">
        <v>3.3881000000000001</v>
      </c>
      <c r="N14" s="2">
        <v>3.3472</v>
      </c>
      <c r="O14" s="2">
        <v>3.3130000000000002</v>
      </c>
      <c r="P14" s="2">
        <v>3.2839</v>
      </c>
      <c r="Q14" s="2">
        <v>3.2589999999999999</v>
      </c>
      <c r="R14" s="2">
        <v>3.2374000000000001</v>
      </c>
      <c r="S14" s="2">
        <v>3.2183999999999999</v>
      </c>
      <c r="T14" s="2">
        <v>3.2017000000000002</v>
      </c>
      <c r="U14" s="2">
        <v>3.1867000000000001</v>
      </c>
      <c r="V14" s="2">
        <v>3.1732999999999998</v>
      </c>
      <c r="W14" s="2">
        <v>3.1613000000000002</v>
      </c>
      <c r="X14" s="2">
        <v>3.1503000000000001</v>
      </c>
    </row>
    <row r="15" spans="4:24" x14ac:dyDescent="0.2">
      <c r="D15" s="1">
        <v>9</v>
      </c>
      <c r="E15" s="2">
        <v>5.1173999999999999</v>
      </c>
      <c r="F15" s="2">
        <v>4.2565</v>
      </c>
      <c r="G15" s="2">
        <v>3.8626</v>
      </c>
      <c r="H15" s="2">
        <v>3.6331000000000002</v>
      </c>
      <c r="I15" s="2">
        <v>3.4817</v>
      </c>
      <c r="J15" s="2">
        <v>3.3738000000000001</v>
      </c>
      <c r="K15" s="2">
        <v>3.2928000000000002</v>
      </c>
      <c r="L15" s="2">
        <v>3.2296</v>
      </c>
      <c r="M15" s="2">
        <v>3.1789000000000001</v>
      </c>
      <c r="N15" s="2">
        <v>3.1373000000000002</v>
      </c>
      <c r="O15" s="2">
        <v>3.1025</v>
      </c>
      <c r="P15" s="2">
        <v>3.0729000000000002</v>
      </c>
      <c r="Q15" s="2">
        <v>3.0474999999999999</v>
      </c>
      <c r="R15" s="2">
        <v>3.0255000000000001</v>
      </c>
      <c r="S15" s="2">
        <v>3.0061</v>
      </c>
      <c r="T15" s="2">
        <v>2.9889999999999999</v>
      </c>
      <c r="U15" s="2">
        <v>2.9737</v>
      </c>
      <c r="V15" s="2">
        <v>2.96</v>
      </c>
      <c r="W15" s="2">
        <v>2.9476</v>
      </c>
      <c r="X15" s="2">
        <v>2.9365000000000001</v>
      </c>
    </row>
    <row r="16" spans="4:24" x14ac:dyDescent="0.2">
      <c r="D16" s="1">
        <v>10</v>
      </c>
      <c r="E16" s="2">
        <v>4.9646999999999997</v>
      </c>
      <c r="F16" s="2">
        <v>4.1028000000000002</v>
      </c>
      <c r="G16" s="2">
        <v>3.7082999999999999</v>
      </c>
      <c r="H16" s="2">
        <v>3.4781</v>
      </c>
      <c r="I16" s="2">
        <v>3.3258000000000001</v>
      </c>
      <c r="J16" s="2">
        <v>3.2170999999999998</v>
      </c>
      <c r="K16" s="2">
        <v>3.1355</v>
      </c>
      <c r="L16" s="2">
        <v>3.0716999999999999</v>
      </c>
      <c r="M16" s="2">
        <v>3.0204</v>
      </c>
      <c r="N16" s="2">
        <v>2.9782000000000002</v>
      </c>
      <c r="O16" s="2">
        <v>2.9428999999999998</v>
      </c>
      <c r="P16" s="2">
        <v>2.9129999999999998</v>
      </c>
      <c r="Q16" s="2">
        <v>2.8872</v>
      </c>
      <c r="R16" s="2">
        <v>2.8647999999999998</v>
      </c>
      <c r="S16" s="2">
        <v>2.8450000000000002</v>
      </c>
      <c r="T16" s="2">
        <v>2.8275999999999999</v>
      </c>
      <c r="U16" s="2">
        <v>2.8119999999999998</v>
      </c>
      <c r="V16" s="2">
        <v>2.7980999999999998</v>
      </c>
      <c r="W16" s="2">
        <v>2.7854999999999999</v>
      </c>
      <c r="X16" s="2">
        <v>2.774</v>
      </c>
    </row>
    <row r="17" spans="2:24" ht="13.5" thickBot="1" x14ac:dyDescent="0.25">
      <c r="D17" s="1">
        <v>11</v>
      </c>
      <c r="E17" s="2">
        <v>4.8442999999999996</v>
      </c>
      <c r="F17" s="2">
        <v>3.9823</v>
      </c>
      <c r="G17" s="2">
        <v>3.5874999999999999</v>
      </c>
      <c r="H17" s="2">
        <v>3.3567</v>
      </c>
      <c r="I17" s="2">
        <v>3.2039</v>
      </c>
      <c r="J17" s="2">
        <v>3.0945999999999998</v>
      </c>
      <c r="K17" s="2">
        <v>3.0123000000000002</v>
      </c>
      <c r="L17" s="2">
        <v>2.948</v>
      </c>
      <c r="M17" s="2">
        <v>2.8961999999999999</v>
      </c>
      <c r="N17" s="2">
        <v>2.8536000000000001</v>
      </c>
      <c r="O17" s="2">
        <v>2.8178999999999998</v>
      </c>
      <c r="P17" s="2">
        <v>2.7875999999999999</v>
      </c>
      <c r="Q17" s="2">
        <v>2.7614000000000001</v>
      </c>
      <c r="R17" s="2">
        <v>2.7385999999999999</v>
      </c>
      <c r="S17" s="2">
        <v>2.7185999999999999</v>
      </c>
      <c r="T17" s="2">
        <v>2.7008999999999999</v>
      </c>
      <c r="U17" s="2">
        <v>2.6850999999999998</v>
      </c>
      <c r="V17" s="2">
        <v>2.6709000000000001</v>
      </c>
      <c r="W17" s="2">
        <v>2.6581000000000001</v>
      </c>
      <c r="X17" s="2">
        <v>2.6463999999999999</v>
      </c>
    </row>
    <row r="18" spans="2:24" ht="18.75" thickTop="1" x14ac:dyDescent="0.2">
      <c r="B18" s="6"/>
      <c r="D18" s="1">
        <v>12</v>
      </c>
      <c r="E18" s="2">
        <v>4.7472000000000003</v>
      </c>
      <c r="F18" s="2">
        <v>3.8853</v>
      </c>
      <c r="G18" s="2">
        <v>3.4903</v>
      </c>
      <c r="H18" s="2">
        <v>3.2591999999999999</v>
      </c>
      <c r="I18" s="2">
        <v>3.1059000000000001</v>
      </c>
      <c r="J18" s="2">
        <v>2.9961000000000002</v>
      </c>
      <c r="K18" s="2">
        <v>2.9134000000000002</v>
      </c>
      <c r="L18" s="2">
        <v>2.8485999999999998</v>
      </c>
      <c r="M18" s="2">
        <v>2.7964000000000002</v>
      </c>
      <c r="N18" s="2">
        <v>2.7534000000000001</v>
      </c>
      <c r="O18" s="2">
        <v>2.7172999999999998</v>
      </c>
      <c r="P18" s="2">
        <v>2.6865999999999999</v>
      </c>
      <c r="Q18" s="2">
        <v>2.6602000000000001</v>
      </c>
      <c r="R18" s="2">
        <v>2.6371000000000002</v>
      </c>
      <c r="S18" s="2">
        <v>2.6168999999999998</v>
      </c>
      <c r="T18" s="2">
        <v>2.5989</v>
      </c>
      <c r="U18" s="2">
        <v>2.5828000000000002</v>
      </c>
      <c r="V18" s="2">
        <v>2.5684</v>
      </c>
      <c r="W18" s="2">
        <v>2.5554000000000001</v>
      </c>
      <c r="X18" s="2">
        <v>2.5436000000000001</v>
      </c>
    </row>
    <row r="19" spans="2:24" x14ac:dyDescent="0.2">
      <c r="D19" s="1">
        <v>13</v>
      </c>
      <c r="E19" s="2">
        <v>4.6672000000000002</v>
      </c>
      <c r="F19" s="2">
        <v>3.8054999999999999</v>
      </c>
      <c r="G19" s="2">
        <v>3.4106000000000001</v>
      </c>
      <c r="H19" s="2">
        <v>3.1791</v>
      </c>
      <c r="I19" s="2">
        <v>3.0255000000000001</v>
      </c>
      <c r="J19" s="2">
        <v>2.9152999999999998</v>
      </c>
      <c r="K19" s="2">
        <v>2.8321000000000001</v>
      </c>
      <c r="L19" s="2">
        <v>2.7669000000000001</v>
      </c>
      <c r="M19" s="2">
        <v>2.7143999999999999</v>
      </c>
      <c r="N19" s="2">
        <v>2.6711</v>
      </c>
      <c r="O19" s="2">
        <v>2.6347</v>
      </c>
      <c r="P19" s="2">
        <v>2.6036999999999999</v>
      </c>
      <c r="Q19" s="2">
        <v>2.5769000000000002</v>
      </c>
      <c r="R19" s="2">
        <v>2.5535999999999999</v>
      </c>
      <c r="S19" s="2">
        <v>2.5331000000000001</v>
      </c>
      <c r="T19" s="2">
        <v>2.5148999999999999</v>
      </c>
      <c r="U19" s="2">
        <v>2.4986999999999999</v>
      </c>
      <c r="V19" s="2">
        <v>2.4841000000000002</v>
      </c>
      <c r="W19" s="2">
        <v>2.4708999999999999</v>
      </c>
      <c r="X19" s="2">
        <v>2.4588999999999999</v>
      </c>
    </row>
    <row r="20" spans="2:24" x14ac:dyDescent="0.2">
      <c r="D20" s="1">
        <v>14</v>
      </c>
      <c r="E20" s="2">
        <v>4.6001000000000003</v>
      </c>
      <c r="F20" s="2">
        <v>3.7389000000000001</v>
      </c>
      <c r="G20" s="2">
        <v>3.3439000000000001</v>
      </c>
      <c r="H20" s="2">
        <v>3.1122000000000001</v>
      </c>
      <c r="I20" s="2">
        <v>2.9582000000000002</v>
      </c>
      <c r="J20" s="2">
        <v>2.8477000000000001</v>
      </c>
      <c r="K20" s="2">
        <v>2.7642000000000002</v>
      </c>
      <c r="L20" s="2">
        <v>2.6987000000000001</v>
      </c>
      <c r="M20" s="2">
        <v>2.6457999999999999</v>
      </c>
      <c r="N20" s="2">
        <v>2.6021000000000001</v>
      </c>
      <c r="O20" s="2">
        <v>2.5655000000000001</v>
      </c>
      <c r="P20" s="2">
        <v>2.5343</v>
      </c>
      <c r="Q20" s="2">
        <v>2.5072999999999999</v>
      </c>
      <c r="R20" s="2">
        <v>2.4836999999999998</v>
      </c>
      <c r="S20" s="2">
        <v>2.4630000000000001</v>
      </c>
      <c r="T20" s="2">
        <v>2.4445999999999999</v>
      </c>
      <c r="U20" s="2">
        <v>2.4281999999999999</v>
      </c>
      <c r="V20" s="2">
        <v>2.4134000000000002</v>
      </c>
      <c r="W20" s="2">
        <v>2.4</v>
      </c>
      <c r="X20" s="2">
        <v>2.3879000000000001</v>
      </c>
    </row>
    <row r="21" spans="2:24" x14ac:dyDescent="0.2">
      <c r="D21" s="1">
        <v>15</v>
      </c>
      <c r="E21" s="2">
        <v>4.5430000000000001</v>
      </c>
      <c r="F21" s="2">
        <v>3.6823999999999999</v>
      </c>
      <c r="G21" s="2">
        <v>3.2873999999999999</v>
      </c>
      <c r="H21" s="2">
        <v>3.0554999999999999</v>
      </c>
      <c r="I21" s="2">
        <v>2.9013</v>
      </c>
      <c r="J21" s="2">
        <v>2.7905000000000002</v>
      </c>
      <c r="K21" s="2">
        <v>2.7065999999999999</v>
      </c>
      <c r="L21" s="2">
        <v>2.6408</v>
      </c>
      <c r="M21" s="2">
        <v>2.5876999999999999</v>
      </c>
      <c r="N21" s="2">
        <v>2.5436999999999999</v>
      </c>
      <c r="O21" s="2">
        <v>2.5068000000000001</v>
      </c>
      <c r="P21" s="2">
        <v>2.4752999999999998</v>
      </c>
      <c r="Q21" s="2">
        <v>2.4481000000000002</v>
      </c>
      <c r="R21" s="2">
        <v>2.4243999999999999</v>
      </c>
      <c r="S21" s="2">
        <v>2.4034</v>
      </c>
      <c r="T21" s="2">
        <v>2.3849</v>
      </c>
      <c r="U21" s="2">
        <v>2.3683000000000001</v>
      </c>
      <c r="V21" s="2">
        <v>2.3532999999999999</v>
      </c>
      <c r="W21" s="2">
        <v>2.3397999999999999</v>
      </c>
      <c r="X21" s="2">
        <v>2.3275000000000001</v>
      </c>
    </row>
    <row r="22" spans="2:24" x14ac:dyDescent="0.2">
      <c r="D22" s="1">
        <v>16</v>
      </c>
      <c r="E22" s="2">
        <v>4.4939999999999998</v>
      </c>
      <c r="F22" s="2">
        <v>3.6337000000000002</v>
      </c>
      <c r="G22" s="2">
        <v>3.2389000000000001</v>
      </c>
      <c r="H22" s="2">
        <v>3.0068999999999999</v>
      </c>
      <c r="I22" s="2">
        <v>2.8523999999999998</v>
      </c>
      <c r="J22" s="2">
        <v>2.7412999999999998</v>
      </c>
      <c r="K22" s="2">
        <v>2.6572</v>
      </c>
      <c r="L22" s="2">
        <v>2.5911</v>
      </c>
      <c r="M22" s="2">
        <v>2.5377000000000001</v>
      </c>
      <c r="N22" s="2">
        <v>2.4935</v>
      </c>
      <c r="O22" s="2">
        <v>2.4563999999999999</v>
      </c>
      <c r="P22" s="2">
        <v>2.4247000000000001</v>
      </c>
      <c r="Q22" s="2">
        <v>2.3973</v>
      </c>
      <c r="R22" s="2">
        <v>2.3733</v>
      </c>
      <c r="S22" s="2">
        <v>2.3521999999999998</v>
      </c>
      <c r="T22" s="2">
        <v>2.3334999999999999</v>
      </c>
      <c r="U22" s="2">
        <v>2.3167</v>
      </c>
      <c r="V22" s="2">
        <v>2.3016000000000001</v>
      </c>
      <c r="W22" s="2">
        <v>2.2879999999999998</v>
      </c>
      <c r="X22" s="2">
        <v>2.2755999999999998</v>
      </c>
    </row>
    <row r="23" spans="2:24" x14ac:dyDescent="0.2">
      <c r="D23" s="1">
        <v>17</v>
      </c>
      <c r="E23" s="2">
        <v>4.4512999999999998</v>
      </c>
      <c r="F23" s="2">
        <v>3.5916000000000001</v>
      </c>
      <c r="G23" s="2">
        <v>3.1968000000000001</v>
      </c>
      <c r="H23" s="2">
        <v>2.9647000000000001</v>
      </c>
      <c r="I23" s="2">
        <v>2.81</v>
      </c>
      <c r="J23" s="2">
        <v>2.6987000000000001</v>
      </c>
      <c r="K23" s="2">
        <v>2.6143000000000001</v>
      </c>
      <c r="L23" s="2">
        <v>2.548</v>
      </c>
      <c r="M23" s="2">
        <v>2.4943</v>
      </c>
      <c r="N23" s="2">
        <v>2.4499</v>
      </c>
      <c r="O23" s="2">
        <v>2.4125999999999999</v>
      </c>
      <c r="P23" s="2">
        <v>2.3807</v>
      </c>
      <c r="Q23" s="2">
        <v>2.3531</v>
      </c>
      <c r="R23" s="2">
        <v>2.3290000000000002</v>
      </c>
      <c r="S23" s="2">
        <v>2.3077000000000001</v>
      </c>
      <c r="T23" s="2">
        <v>2.2888000000000002</v>
      </c>
      <c r="U23" s="2">
        <v>2.2719</v>
      </c>
      <c r="V23" s="2">
        <v>2.2566999999999999</v>
      </c>
      <c r="W23" s="2">
        <v>2.2429000000000001</v>
      </c>
      <c r="X23" s="2">
        <v>2.2303000000000002</v>
      </c>
    </row>
    <row r="24" spans="2:24" x14ac:dyDescent="0.2">
      <c r="D24" s="1">
        <v>18</v>
      </c>
      <c r="E24" s="2">
        <v>4.4138999999999999</v>
      </c>
      <c r="F24" s="2">
        <v>3.5546000000000002</v>
      </c>
      <c r="G24" s="2">
        <v>3.1598999999999999</v>
      </c>
      <c r="H24" s="2">
        <v>2.9278</v>
      </c>
      <c r="I24" s="2">
        <v>2.7728999999999999</v>
      </c>
      <c r="J24" s="2">
        <v>2.6613000000000002</v>
      </c>
      <c r="K24" s="2">
        <v>2.5767000000000002</v>
      </c>
      <c r="L24" s="2">
        <v>2.5102000000000002</v>
      </c>
      <c r="M24" s="2">
        <v>2.4563000000000001</v>
      </c>
      <c r="N24" s="2">
        <v>2.4117000000000002</v>
      </c>
      <c r="O24" s="2">
        <v>2.3742000000000001</v>
      </c>
      <c r="P24" s="2">
        <v>2.3420999999999998</v>
      </c>
      <c r="Q24" s="2">
        <v>2.3142999999999998</v>
      </c>
      <c r="R24" s="2">
        <v>2.29</v>
      </c>
      <c r="S24" s="2">
        <v>2.2686000000000002</v>
      </c>
      <c r="T24" s="2">
        <v>2.2496</v>
      </c>
      <c r="U24" s="2">
        <v>2.2324999999999999</v>
      </c>
      <c r="V24" s="2">
        <v>2.2172000000000001</v>
      </c>
      <c r="W24" s="2">
        <v>2.2033</v>
      </c>
      <c r="X24" s="2">
        <v>2.1905999999999999</v>
      </c>
    </row>
    <row r="25" spans="2:24" x14ac:dyDescent="0.2">
      <c r="D25" s="1">
        <v>19</v>
      </c>
      <c r="E25" s="2">
        <v>4.3807999999999998</v>
      </c>
      <c r="F25" s="2">
        <v>3.5219</v>
      </c>
      <c r="G25" s="2">
        <v>3.1274000000000002</v>
      </c>
      <c r="H25" s="2">
        <v>2.8950999999999998</v>
      </c>
      <c r="I25" s="2">
        <v>2.7401</v>
      </c>
      <c r="J25" s="2">
        <v>2.6282999999999999</v>
      </c>
      <c r="K25" s="2">
        <v>2.5434999999999999</v>
      </c>
      <c r="L25" s="2">
        <v>2.4767999999999999</v>
      </c>
      <c r="M25" s="2">
        <v>2.4226999999999999</v>
      </c>
      <c r="N25" s="2">
        <v>2.3780000000000001</v>
      </c>
      <c r="O25" s="2">
        <v>2.3401999999999998</v>
      </c>
      <c r="P25" s="2">
        <v>2.3079999999999998</v>
      </c>
      <c r="Q25" s="2">
        <v>2.2799999999999998</v>
      </c>
      <c r="R25" s="2">
        <v>2.2555999999999998</v>
      </c>
      <c r="S25" s="2">
        <v>2.2341000000000002</v>
      </c>
      <c r="T25" s="2">
        <v>2.2149000000000001</v>
      </c>
      <c r="U25" s="2">
        <v>2.1977000000000002</v>
      </c>
      <c r="V25" s="2">
        <v>2.1823000000000001</v>
      </c>
      <c r="W25" s="2">
        <v>2.1682999999999999</v>
      </c>
      <c r="X25" s="2">
        <v>2.1555</v>
      </c>
    </row>
    <row r="26" spans="2:24" x14ac:dyDescent="0.2">
      <c r="C26" s="5">
        <f>+RSQ(E15:G15,E7:G7)</f>
        <v>0.99974269140537653</v>
      </c>
      <c r="D26" s="1">
        <v>20</v>
      </c>
      <c r="E26" s="2">
        <v>4.3512000000000004</v>
      </c>
      <c r="F26" s="2">
        <v>3.4927999999999999</v>
      </c>
      <c r="G26" s="2">
        <v>3.0983999999999998</v>
      </c>
      <c r="H26" s="2">
        <v>2.8660999999999999</v>
      </c>
      <c r="I26" s="2">
        <v>2.7109000000000001</v>
      </c>
      <c r="J26" s="2">
        <v>2.5990000000000002</v>
      </c>
      <c r="K26" s="2">
        <v>2.5139999999999998</v>
      </c>
      <c r="L26" s="2">
        <v>2.4470999999999998</v>
      </c>
      <c r="M26" s="2">
        <v>2.3927999999999998</v>
      </c>
      <c r="N26" s="2">
        <v>2.3479000000000001</v>
      </c>
      <c r="O26" s="2">
        <v>2.31</v>
      </c>
      <c r="P26" s="2">
        <v>2.2776000000000001</v>
      </c>
      <c r="Q26" s="2">
        <v>2.2494999999999998</v>
      </c>
      <c r="R26" s="2">
        <v>2.2248999999999999</v>
      </c>
      <c r="S26" s="2">
        <v>2.2033</v>
      </c>
      <c r="T26" s="2">
        <v>2.1840000000000002</v>
      </c>
      <c r="U26" s="2">
        <v>2.1667000000000001</v>
      </c>
      <c r="V26" s="2">
        <v>2.1511</v>
      </c>
      <c r="W26" s="2">
        <v>2.137</v>
      </c>
      <c r="X26" s="2">
        <v>2.1242000000000001</v>
      </c>
    </row>
    <row r="27" spans="2:24" x14ac:dyDescent="0.2">
      <c r="D27" s="1" t="s">
        <v>10</v>
      </c>
      <c r="E27" s="1">
        <v>1</v>
      </c>
      <c r="F27" s="1">
        <v>2</v>
      </c>
      <c r="G27" s="1">
        <v>3</v>
      </c>
      <c r="H27" s="1">
        <v>4</v>
      </c>
      <c r="I27" s="1">
        <v>5</v>
      </c>
      <c r="J27" s="1">
        <v>6</v>
      </c>
      <c r="K27" s="1">
        <v>7</v>
      </c>
      <c r="L27" s="1">
        <v>8</v>
      </c>
      <c r="M27" s="1">
        <v>9</v>
      </c>
      <c r="N27" s="1">
        <v>10</v>
      </c>
      <c r="O27" s="1">
        <v>11</v>
      </c>
      <c r="P27" s="1">
        <v>12</v>
      </c>
      <c r="Q27" s="1">
        <v>13</v>
      </c>
      <c r="R27" s="1">
        <v>14</v>
      </c>
      <c r="S27" s="1">
        <v>15</v>
      </c>
      <c r="T27" s="1">
        <v>16</v>
      </c>
      <c r="U27" s="1">
        <v>17</v>
      </c>
      <c r="V27" s="1">
        <v>18</v>
      </c>
      <c r="W27" s="1">
        <v>19</v>
      </c>
      <c r="X27" s="1">
        <v>20</v>
      </c>
    </row>
    <row r="28" spans="2:24" x14ac:dyDescent="0.2">
      <c r="D28" s="1" t="s">
        <v>11</v>
      </c>
      <c r="E28" s="1" t="s">
        <v>12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2:24" x14ac:dyDescent="0.2">
      <c r="D29" s="1">
        <v>21</v>
      </c>
      <c r="E29" s="2">
        <v>4.3247999999999998</v>
      </c>
      <c r="F29" s="2">
        <v>3.4668000000000001</v>
      </c>
      <c r="G29" s="2">
        <v>3.0724999999999998</v>
      </c>
      <c r="H29" s="2">
        <v>2.8401000000000001</v>
      </c>
      <c r="I29" s="2">
        <v>2.6848000000000001</v>
      </c>
      <c r="J29" s="2">
        <v>2.5727000000000002</v>
      </c>
      <c r="K29" s="2">
        <v>2.4876</v>
      </c>
      <c r="L29" s="2">
        <v>2.4205000000000001</v>
      </c>
      <c r="M29" s="2">
        <v>2.3660999999999999</v>
      </c>
      <c r="N29" s="2">
        <v>2.3209</v>
      </c>
      <c r="O29" s="2">
        <v>2.2829000000000002</v>
      </c>
      <c r="P29" s="2">
        <v>2.2504</v>
      </c>
      <c r="Q29" s="2">
        <v>2.2222</v>
      </c>
      <c r="R29" s="2">
        <v>2.1974999999999998</v>
      </c>
      <c r="S29" s="2">
        <v>2.1757</v>
      </c>
      <c r="T29" s="2">
        <v>2.1562999999999999</v>
      </c>
      <c r="U29" s="2">
        <v>2.1389</v>
      </c>
      <c r="V29" s="2">
        <v>2.1232000000000002</v>
      </c>
      <c r="W29" s="2">
        <v>2.109</v>
      </c>
      <c r="X29" s="2">
        <v>2.0960000000000001</v>
      </c>
    </row>
    <row r="30" spans="2:24" x14ac:dyDescent="0.2">
      <c r="D30" s="1">
        <v>22</v>
      </c>
      <c r="E30" s="2">
        <v>4.3009000000000004</v>
      </c>
      <c r="F30" s="2">
        <v>3.4434</v>
      </c>
      <c r="G30" s="2">
        <v>3.0491999999999999</v>
      </c>
      <c r="H30" s="2">
        <v>2.8167</v>
      </c>
      <c r="I30" s="2">
        <v>2.6613000000000002</v>
      </c>
      <c r="J30" s="2">
        <v>2.5491000000000001</v>
      </c>
      <c r="K30" s="2">
        <v>2.4638</v>
      </c>
      <c r="L30" s="2">
        <v>2.3965000000000001</v>
      </c>
      <c r="M30" s="2">
        <v>2.3418999999999999</v>
      </c>
      <c r="N30" s="2">
        <v>2.2967</v>
      </c>
      <c r="O30" s="2">
        <v>2.2585000000000002</v>
      </c>
      <c r="P30" s="2">
        <v>2.2258</v>
      </c>
      <c r="Q30" s="2">
        <v>2.1974999999999998</v>
      </c>
      <c r="R30" s="2">
        <v>2.1726999999999999</v>
      </c>
      <c r="S30" s="2">
        <v>2.1507999999999998</v>
      </c>
      <c r="T30" s="2">
        <v>2.1313</v>
      </c>
      <c r="U30" s="2">
        <v>2.1137999999999999</v>
      </c>
      <c r="V30" s="2">
        <v>2.0979999999999999</v>
      </c>
      <c r="W30" s="2">
        <v>2.0836999999999999</v>
      </c>
      <c r="X30" s="2">
        <v>2.0707</v>
      </c>
    </row>
    <row r="31" spans="2:24" x14ac:dyDescent="0.2">
      <c r="D31" s="1">
        <v>23</v>
      </c>
      <c r="E31" s="2">
        <v>4.2793999999999999</v>
      </c>
      <c r="F31" s="2">
        <v>3.4220999999999999</v>
      </c>
      <c r="G31" s="2">
        <v>3.028</v>
      </c>
      <c r="H31" s="2">
        <v>2.7955000000000001</v>
      </c>
      <c r="I31" s="2">
        <v>2.64</v>
      </c>
      <c r="J31" s="2">
        <v>2.5276000000000001</v>
      </c>
      <c r="K31" s="2">
        <v>2.4422000000000001</v>
      </c>
      <c r="L31" s="2">
        <v>2.3748</v>
      </c>
      <c r="M31" s="2">
        <v>2.3201000000000001</v>
      </c>
      <c r="N31" s="2">
        <v>2.2747000000000002</v>
      </c>
      <c r="O31" s="2">
        <v>2.2364000000000002</v>
      </c>
      <c r="P31" s="2">
        <v>2.2035999999999998</v>
      </c>
      <c r="Q31" s="2">
        <v>2.1751999999999998</v>
      </c>
      <c r="R31" s="2">
        <v>2.1503000000000001</v>
      </c>
      <c r="S31" s="2">
        <v>2.1282000000000001</v>
      </c>
      <c r="T31" s="2">
        <v>2.1086</v>
      </c>
      <c r="U31" s="2">
        <v>2.0910000000000002</v>
      </c>
      <c r="V31" s="2">
        <v>2.0750999999999999</v>
      </c>
      <c r="W31" s="2">
        <v>2.0608</v>
      </c>
      <c r="X31" s="2">
        <v>2.0476000000000001</v>
      </c>
    </row>
    <row r="32" spans="2:24" x14ac:dyDescent="0.2">
      <c r="D32" s="1">
        <v>24</v>
      </c>
      <c r="E32" s="2">
        <v>4.2596999999999996</v>
      </c>
      <c r="F32" s="2">
        <v>3.4028999999999998</v>
      </c>
      <c r="G32" s="2">
        <v>3.0087999999999999</v>
      </c>
      <c r="H32" s="2">
        <v>2.7763</v>
      </c>
      <c r="I32" s="2">
        <v>2.6206</v>
      </c>
      <c r="J32" s="2">
        <v>2.5082</v>
      </c>
      <c r="K32" s="2">
        <v>2.4226000000000001</v>
      </c>
      <c r="L32" s="2">
        <v>2.3551000000000002</v>
      </c>
      <c r="M32" s="2">
        <v>2.3003</v>
      </c>
      <c r="N32" s="2">
        <v>2.2547000000000001</v>
      </c>
      <c r="O32" s="2">
        <v>2.2162999999999999</v>
      </c>
      <c r="P32" s="2">
        <v>2.1833999999999998</v>
      </c>
      <c r="Q32" s="2">
        <v>2.1547999999999998</v>
      </c>
      <c r="R32" s="2">
        <v>2.1297999999999999</v>
      </c>
      <c r="S32" s="2">
        <v>2.1076999999999999</v>
      </c>
      <c r="T32" s="2">
        <v>2.0880000000000001</v>
      </c>
      <c r="U32" s="2">
        <v>2.0703</v>
      </c>
      <c r="V32" s="2">
        <v>2.0543</v>
      </c>
      <c r="W32" s="2">
        <v>2.0398999999999998</v>
      </c>
      <c r="X32" s="2">
        <v>2.0266999999999999</v>
      </c>
    </row>
    <row r="33" spans="4:24" x14ac:dyDescent="0.2">
      <c r="D33" s="1">
        <v>25</v>
      </c>
      <c r="E33" s="2">
        <v>4.2416999999999998</v>
      </c>
      <c r="F33" s="2">
        <v>3.3852000000000002</v>
      </c>
      <c r="G33" s="2">
        <v>2.9912999999999998</v>
      </c>
      <c r="H33" s="2">
        <v>2.7587000000000002</v>
      </c>
      <c r="I33" s="2">
        <v>2.6030000000000002</v>
      </c>
      <c r="J33" s="2">
        <v>2.4904000000000002</v>
      </c>
      <c r="K33" s="2">
        <v>2.4047000000000001</v>
      </c>
      <c r="L33" s="2">
        <v>2.3371</v>
      </c>
      <c r="M33" s="2">
        <v>2.2820999999999998</v>
      </c>
      <c r="N33" s="2">
        <v>2.2364999999999999</v>
      </c>
      <c r="O33" s="2">
        <v>2.1979000000000002</v>
      </c>
      <c r="P33" s="2">
        <v>2.1648999999999998</v>
      </c>
      <c r="Q33" s="2">
        <v>2.1362000000000001</v>
      </c>
      <c r="R33" s="2">
        <v>2.1111</v>
      </c>
      <c r="S33" s="2">
        <v>2.0889000000000002</v>
      </c>
      <c r="T33" s="2">
        <v>2.0691000000000002</v>
      </c>
      <c r="U33" s="2">
        <v>2.0512999999999999</v>
      </c>
      <c r="V33" s="2">
        <v>2.0352999999999999</v>
      </c>
      <c r="W33" s="2">
        <v>2.0207000000000002</v>
      </c>
      <c r="X33" s="2">
        <v>2.0074999999999998</v>
      </c>
    </row>
    <row r="34" spans="4:24" x14ac:dyDescent="0.2">
      <c r="D34" s="1">
        <v>26</v>
      </c>
      <c r="E34" s="2">
        <v>4.2252000000000001</v>
      </c>
      <c r="F34" s="2">
        <v>3.3690000000000002</v>
      </c>
      <c r="G34" s="2">
        <v>2.9752000000000001</v>
      </c>
      <c r="H34" s="2">
        <v>2.7425999999999999</v>
      </c>
      <c r="I34" s="2">
        <v>2.5868000000000002</v>
      </c>
      <c r="J34" s="2">
        <v>2.4741</v>
      </c>
      <c r="K34" s="2">
        <v>2.3883000000000001</v>
      </c>
      <c r="L34" s="2">
        <v>2.3205</v>
      </c>
      <c r="M34" s="2">
        <v>2.2654999999999998</v>
      </c>
      <c r="N34" s="2">
        <v>2.2197</v>
      </c>
      <c r="O34" s="2">
        <v>2.1810999999999998</v>
      </c>
      <c r="P34" s="2">
        <v>2.1478999999999999</v>
      </c>
      <c r="Q34" s="2">
        <v>2.1192000000000002</v>
      </c>
      <c r="R34" s="2">
        <v>2.0939999999999999</v>
      </c>
      <c r="S34" s="2">
        <v>2.0716000000000001</v>
      </c>
      <c r="T34" s="2">
        <v>2.0518000000000001</v>
      </c>
      <c r="U34" s="2">
        <v>2.0339</v>
      </c>
      <c r="V34" s="2">
        <v>2.0177999999999998</v>
      </c>
      <c r="W34" s="2">
        <v>2.0032000000000001</v>
      </c>
      <c r="X34" s="2">
        <v>1.9898</v>
      </c>
    </row>
    <row r="35" spans="4:24" x14ac:dyDescent="0.2">
      <c r="D35" s="1">
        <v>27</v>
      </c>
      <c r="E35" s="2">
        <v>4.21</v>
      </c>
      <c r="F35" s="2">
        <v>3.3542000000000001</v>
      </c>
      <c r="G35" s="2">
        <v>2.9603000000000002</v>
      </c>
      <c r="H35" s="2">
        <v>2.7277</v>
      </c>
      <c r="I35" s="2">
        <v>2.5718999999999999</v>
      </c>
      <c r="J35" s="2">
        <v>2.4590999999999998</v>
      </c>
      <c r="K35" s="2">
        <v>2.3732000000000002</v>
      </c>
      <c r="L35" s="2">
        <v>2.3052999999999999</v>
      </c>
      <c r="M35" s="2">
        <v>2.2501000000000002</v>
      </c>
      <c r="N35" s="2">
        <v>2.2042999999999999</v>
      </c>
      <c r="O35" s="2">
        <v>2.1656</v>
      </c>
      <c r="P35" s="2">
        <v>2.1322999999999999</v>
      </c>
      <c r="Q35" s="2">
        <v>2.1034999999999999</v>
      </c>
      <c r="R35" s="2">
        <v>2.0781999999999998</v>
      </c>
      <c r="S35" s="2">
        <v>2.0558000000000001</v>
      </c>
      <c r="T35" s="2">
        <v>2.0358000000000001</v>
      </c>
      <c r="U35" s="2">
        <v>2.0179</v>
      </c>
      <c r="V35" s="2">
        <v>2.0017</v>
      </c>
      <c r="W35" s="2">
        <v>1.9870000000000001</v>
      </c>
      <c r="X35" s="2">
        <v>1.9736</v>
      </c>
    </row>
    <row r="36" spans="4:24" x14ac:dyDescent="0.2">
      <c r="D36" s="1">
        <v>28</v>
      </c>
      <c r="E36" s="2">
        <v>4.1959999999999997</v>
      </c>
      <c r="F36" s="2">
        <v>3.3403999999999998</v>
      </c>
      <c r="G36" s="2">
        <v>2.9466999999999999</v>
      </c>
      <c r="H36" s="2">
        <v>2.7141000000000002</v>
      </c>
      <c r="I36" s="2">
        <v>2.5581</v>
      </c>
      <c r="J36" s="2">
        <v>2.4453</v>
      </c>
      <c r="K36" s="2">
        <v>2.3592</v>
      </c>
      <c r="L36" s="2">
        <v>2.2913000000000001</v>
      </c>
      <c r="M36" s="2">
        <v>2.2360000000000002</v>
      </c>
      <c r="N36" s="2">
        <v>2.1901000000000002</v>
      </c>
      <c r="O36" s="2">
        <v>2.1511999999999998</v>
      </c>
      <c r="P36" s="2">
        <v>2.1179000000000001</v>
      </c>
      <c r="Q36" s="2">
        <v>2.0889000000000002</v>
      </c>
      <c r="R36" s="2">
        <v>2.0636000000000001</v>
      </c>
      <c r="S36" s="2">
        <v>2.0411000000000001</v>
      </c>
      <c r="T36" s="2">
        <v>2.0209999999999999</v>
      </c>
      <c r="U36" s="2">
        <v>2.0030999999999999</v>
      </c>
      <c r="V36" s="2">
        <v>1.9867999999999999</v>
      </c>
      <c r="W36" s="2">
        <v>1.972</v>
      </c>
      <c r="X36" s="2">
        <v>1.9585999999999999</v>
      </c>
    </row>
    <row r="37" spans="4:24" x14ac:dyDescent="0.2">
      <c r="D37" s="1">
        <v>29</v>
      </c>
      <c r="E37" s="2">
        <v>4.1829000000000001</v>
      </c>
      <c r="F37" s="2">
        <v>3.3275999999999999</v>
      </c>
      <c r="G37" s="2">
        <v>2.9340999999999999</v>
      </c>
      <c r="H37" s="2">
        <v>2.7014</v>
      </c>
      <c r="I37" s="2">
        <v>2.5453999999999999</v>
      </c>
      <c r="J37" s="2">
        <v>2.4323999999999999</v>
      </c>
      <c r="K37" s="2">
        <v>2.3462999999999998</v>
      </c>
      <c r="L37" s="2">
        <v>2.2783000000000002</v>
      </c>
      <c r="M37" s="2">
        <v>2.2229000000000001</v>
      </c>
      <c r="N37" s="2">
        <v>2.1768000000000001</v>
      </c>
      <c r="O37" s="2">
        <v>2.1379000000000001</v>
      </c>
      <c r="P37" s="2">
        <v>2.1044999999999998</v>
      </c>
      <c r="Q37" s="2">
        <v>2.0754999999999999</v>
      </c>
      <c r="R37" s="2">
        <v>2.0499999999999998</v>
      </c>
      <c r="S37" s="2">
        <v>2.0274999999999999</v>
      </c>
      <c r="T37" s="2">
        <v>2.0074000000000001</v>
      </c>
      <c r="U37" s="2">
        <v>1.9893000000000001</v>
      </c>
      <c r="V37" s="2">
        <v>1.9730000000000001</v>
      </c>
      <c r="W37" s="2">
        <v>1.9581999999999999</v>
      </c>
      <c r="X37" s="2">
        <v>1.9446000000000001</v>
      </c>
    </row>
    <row r="38" spans="4:24" x14ac:dyDescent="0.2">
      <c r="D38" s="1">
        <v>30</v>
      </c>
      <c r="E38" s="2">
        <v>4.1708999999999996</v>
      </c>
      <c r="F38" s="2">
        <v>3.3157999999999999</v>
      </c>
      <c r="G38" s="2">
        <v>2.9222999999999999</v>
      </c>
      <c r="H38" s="2">
        <v>2.6896</v>
      </c>
      <c r="I38" s="2">
        <v>2.5335000000000001</v>
      </c>
      <c r="J38" s="2">
        <v>2.4205000000000001</v>
      </c>
      <c r="K38" s="2">
        <v>2.3342999999999998</v>
      </c>
      <c r="L38" s="2">
        <v>2.2662</v>
      </c>
      <c r="M38" s="2">
        <v>2.2107000000000001</v>
      </c>
      <c r="N38" s="2">
        <v>2.1646000000000001</v>
      </c>
      <c r="O38" s="2">
        <v>2.1255000000000002</v>
      </c>
      <c r="P38" s="2">
        <v>2.0920999999999998</v>
      </c>
      <c r="Q38" s="2">
        <v>2.0629</v>
      </c>
      <c r="R38" s="2">
        <v>2.0373999999999999</v>
      </c>
      <c r="S38" s="2">
        <v>2.0148000000000001</v>
      </c>
      <c r="T38" s="2">
        <v>1.9945999999999999</v>
      </c>
      <c r="U38" s="2">
        <v>1.9764999999999999</v>
      </c>
      <c r="V38" s="2">
        <v>1.9601</v>
      </c>
      <c r="W38" s="2">
        <v>1.9452</v>
      </c>
      <c r="X38" s="2">
        <v>1.9317</v>
      </c>
    </row>
    <row r="39" spans="4:24" x14ac:dyDescent="0.2">
      <c r="D39" s="1">
        <v>31</v>
      </c>
      <c r="E39" s="2">
        <v>4.1597</v>
      </c>
      <c r="F39" s="2">
        <v>3.3048000000000002</v>
      </c>
      <c r="G39" s="2">
        <v>2.9113000000000002</v>
      </c>
      <c r="H39" s="2">
        <v>2.6787000000000001</v>
      </c>
      <c r="I39" s="2">
        <v>2.5225</v>
      </c>
      <c r="J39" s="2">
        <v>2.4094000000000002</v>
      </c>
      <c r="K39" s="2">
        <v>2.3231999999999999</v>
      </c>
      <c r="L39" s="2">
        <v>2.2549000000000001</v>
      </c>
      <c r="M39" s="2">
        <v>2.1993999999999998</v>
      </c>
      <c r="N39" s="2">
        <v>2.1530999999999998</v>
      </c>
      <c r="O39" s="2">
        <v>2.1141000000000001</v>
      </c>
      <c r="P39" s="2">
        <v>2.0804999999999998</v>
      </c>
      <c r="Q39" s="2">
        <v>2.0512999999999999</v>
      </c>
      <c r="R39" s="2">
        <v>2.0257000000000001</v>
      </c>
      <c r="S39" s="2">
        <v>2.0030000000000001</v>
      </c>
      <c r="T39" s="2">
        <v>1.9827999999999999</v>
      </c>
      <c r="U39" s="2">
        <v>1.9645999999999999</v>
      </c>
      <c r="V39" s="2">
        <v>1.9480999999999999</v>
      </c>
      <c r="W39" s="2">
        <v>1.9332</v>
      </c>
      <c r="X39" s="2">
        <v>1.9196</v>
      </c>
    </row>
    <row r="40" spans="4:24" x14ac:dyDescent="0.2">
      <c r="D40" s="1">
        <v>32</v>
      </c>
      <c r="E40" s="2">
        <v>4.1490999999999998</v>
      </c>
      <c r="F40" s="2">
        <v>3.2945000000000002</v>
      </c>
      <c r="G40" s="2">
        <v>2.9011</v>
      </c>
      <c r="H40" s="2">
        <v>2.6684000000000001</v>
      </c>
      <c r="I40" s="2">
        <v>2.5123000000000002</v>
      </c>
      <c r="J40" s="2">
        <v>2.3990999999999998</v>
      </c>
      <c r="K40" s="2">
        <v>2.3127</v>
      </c>
      <c r="L40" s="2">
        <v>2.2444000000000002</v>
      </c>
      <c r="M40" s="2">
        <v>2.1888000000000001</v>
      </c>
      <c r="N40" s="2">
        <v>2.1425000000000001</v>
      </c>
      <c r="O40" s="2">
        <v>2.1032999999999999</v>
      </c>
      <c r="P40" s="2">
        <v>2.0697000000000001</v>
      </c>
      <c r="Q40" s="2">
        <v>2.0404</v>
      </c>
      <c r="R40" s="2">
        <v>2.0146999999999999</v>
      </c>
      <c r="S40" s="2">
        <v>1.992</v>
      </c>
      <c r="T40" s="2">
        <v>1.9717</v>
      </c>
      <c r="U40" s="2">
        <v>1.9534</v>
      </c>
      <c r="V40" s="2">
        <v>1.9369000000000001</v>
      </c>
      <c r="W40" s="2">
        <v>1.9218999999999999</v>
      </c>
      <c r="X40" s="2">
        <v>1.9083000000000001</v>
      </c>
    </row>
    <row r="41" spans="4:24" x14ac:dyDescent="0.2">
      <c r="D41" s="1">
        <v>33</v>
      </c>
      <c r="E41" s="2">
        <v>4.1391999999999998</v>
      </c>
      <c r="F41" s="2">
        <v>3.2848999999999999</v>
      </c>
      <c r="G41" s="2">
        <v>2.8915000000000002</v>
      </c>
      <c r="H41" s="2">
        <v>2.6589</v>
      </c>
      <c r="I41" s="2">
        <v>2.5026999999999999</v>
      </c>
      <c r="J41" s="2">
        <v>2.3894000000000002</v>
      </c>
      <c r="K41" s="2">
        <v>2.3029999999999999</v>
      </c>
      <c r="L41" s="2">
        <v>2.2345999999999999</v>
      </c>
      <c r="M41" s="2">
        <v>2.1789000000000001</v>
      </c>
      <c r="N41" s="2">
        <v>2.1324999999999998</v>
      </c>
      <c r="O41" s="2">
        <v>2.0933000000000002</v>
      </c>
      <c r="P41" s="2">
        <v>2.0596000000000001</v>
      </c>
      <c r="Q41" s="2">
        <v>2.0301999999999998</v>
      </c>
      <c r="R41" s="2">
        <v>2.0045000000000002</v>
      </c>
      <c r="S41" s="2">
        <v>1.9817</v>
      </c>
      <c r="T41" s="2">
        <v>1.9613</v>
      </c>
      <c r="U41" s="2">
        <v>1.9430000000000001</v>
      </c>
      <c r="V41" s="2">
        <v>1.9263999999999999</v>
      </c>
      <c r="W41" s="2">
        <v>1.9114</v>
      </c>
      <c r="X41" s="2">
        <v>1.8976999999999999</v>
      </c>
    </row>
    <row r="42" spans="4:24" x14ac:dyDescent="0.2">
      <c r="D42" s="1">
        <v>34</v>
      </c>
      <c r="E42" s="2">
        <v>4.13</v>
      </c>
      <c r="F42" s="2">
        <v>3.2759</v>
      </c>
      <c r="G42" s="2">
        <v>2.8826000000000001</v>
      </c>
      <c r="H42" s="2">
        <v>2.6499000000000001</v>
      </c>
      <c r="I42" s="2">
        <v>2.4935999999999998</v>
      </c>
      <c r="J42" s="2">
        <v>2.3803000000000001</v>
      </c>
      <c r="K42" s="2">
        <v>2.2938000000000001</v>
      </c>
      <c r="L42" s="2">
        <v>2.2252999999999998</v>
      </c>
      <c r="M42" s="2">
        <v>2.1696</v>
      </c>
      <c r="N42" s="2">
        <v>2.1231</v>
      </c>
      <c r="O42" s="2">
        <v>2.0838000000000001</v>
      </c>
      <c r="P42" s="2">
        <v>2.0499999999999998</v>
      </c>
      <c r="Q42" s="2">
        <v>2.0207000000000002</v>
      </c>
      <c r="R42" s="2">
        <v>1.9948999999999999</v>
      </c>
      <c r="S42" s="2">
        <v>1.972</v>
      </c>
      <c r="T42" s="2">
        <v>1.9516</v>
      </c>
      <c r="U42" s="2">
        <v>1.9332</v>
      </c>
      <c r="V42" s="2">
        <v>1.9166000000000001</v>
      </c>
      <c r="W42" s="2">
        <v>1.9015</v>
      </c>
      <c r="X42" s="2">
        <v>1.8876999999999999</v>
      </c>
    </row>
    <row r="43" spans="4:24" x14ac:dyDescent="0.2">
      <c r="D43" s="1">
        <v>35</v>
      </c>
      <c r="E43" s="2">
        <v>4.1214000000000004</v>
      </c>
      <c r="F43" s="2">
        <v>3.2673999999999999</v>
      </c>
      <c r="G43" s="2">
        <v>2.8742000000000001</v>
      </c>
      <c r="H43" s="2">
        <v>2.6415000000000002</v>
      </c>
      <c r="I43" s="2">
        <v>2.4851000000000001</v>
      </c>
      <c r="J43" s="2">
        <v>2.3717999999999999</v>
      </c>
      <c r="K43" s="2">
        <v>2.2852000000000001</v>
      </c>
      <c r="L43" s="2">
        <v>2.2166999999999999</v>
      </c>
      <c r="M43" s="2">
        <v>2.1608000000000001</v>
      </c>
      <c r="N43" s="2">
        <v>2.1143000000000001</v>
      </c>
      <c r="O43" s="2">
        <v>2.0749</v>
      </c>
      <c r="P43" s="2">
        <v>2.0411000000000001</v>
      </c>
      <c r="Q43" s="2">
        <v>2.0116999999999998</v>
      </c>
      <c r="R43" s="2">
        <v>1.9858</v>
      </c>
      <c r="S43" s="2">
        <v>1.9629000000000001</v>
      </c>
      <c r="T43" s="2">
        <v>1.9423999999999999</v>
      </c>
      <c r="U43" s="2">
        <v>1.9239999999999999</v>
      </c>
      <c r="V43" s="2">
        <v>1.9073</v>
      </c>
      <c r="W43" s="2">
        <v>1.8922000000000001</v>
      </c>
      <c r="X43" s="2">
        <v>1.8784000000000001</v>
      </c>
    </row>
    <row r="44" spans="4:24" x14ac:dyDescent="0.2">
      <c r="D44" s="1">
        <v>36</v>
      </c>
      <c r="E44" s="2">
        <v>4.1132</v>
      </c>
      <c r="F44" s="2">
        <v>3.2593999999999999</v>
      </c>
      <c r="G44" s="2">
        <v>2.8662999999999998</v>
      </c>
      <c r="H44" s="2">
        <v>2.6335000000000002</v>
      </c>
      <c r="I44" s="2">
        <v>2.4771000000000001</v>
      </c>
      <c r="J44" s="2">
        <v>2.3637000000000001</v>
      </c>
      <c r="K44" s="2">
        <v>2.2770999999999999</v>
      </c>
      <c r="L44" s="2">
        <v>2.2084999999999999</v>
      </c>
      <c r="M44" s="2">
        <v>2.1526000000000001</v>
      </c>
      <c r="N44" s="2">
        <v>2.1061000000000001</v>
      </c>
      <c r="O44" s="2">
        <v>2.0666000000000002</v>
      </c>
      <c r="P44" s="2">
        <v>2.0327000000000002</v>
      </c>
      <c r="Q44" s="2">
        <v>2.0032000000000001</v>
      </c>
      <c r="R44" s="2">
        <v>1.9773000000000001</v>
      </c>
      <c r="S44" s="2">
        <v>1.9542999999999999</v>
      </c>
      <c r="T44" s="2">
        <v>1.9338</v>
      </c>
      <c r="U44" s="2">
        <v>1.9153</v>
      </c>
      <c r="V44" s="2">
        <v>1.8986000000000001</v>
      </c>
      <c r="W44" s="2">
        <v>1.8834</v>
      </c>
      <c r="X44" s="2">
        <v>1.8695999999999999</v>
      </c>
    </row>
    <row r="45" spans="4:24" x14ac:dyDescent="0.2">
      <c r="D45" s="1">
        <v>37</v>
      </c>
      <c r="E45" s="2">
        <v>4.1055000000000001</v>
      </c>
      <c r="F45" s="2">
        <v>3.2519</v>
      </c>
      <c r="G45" s="2">
        <v>2.8588</v>
      </c>
      <c r="H45" s="2">
        <v>2.6261000000000001</v>
      </c>
      <c r="I45" s="2">
        <v>2.4695999999999998</v>
      </c>
      <c r="J45" s="2">
        <v>2.3561999999999999</v>
      </c>
      <c r="K45" s="2">
        <v>2.2694999999999999</v>
      </c>
      <c r="L45" s="2">
        <v>2.2008000000000001</v>
      </c>
      <c r="M45" s="2">
        <v>2.1448999999999998</v>
      </c>
      <c r="N45" s="2">
        <v>2.0981999999999998</v>
      </c>
      <c r="O45" s="2">
        <v>2.0587</v>
      </c>
      <c r="P45" s="2">
        <v>2.0247999999999999</v>
      </c>
      <c r="Q45" s="2">
        <v>1.9952000000000001</v>
      </c>
      <c r="R45" s="2">
        <v>1.9692000000000001</v>
      </c>
      <c r="S45" s="2">
        <v>1.9461999999999999</v>
      </c>
      <c r="T45" s="2">
        <v>1.9256</v>
      </c>
      <c r="U45" s="2">
        <v>1.9071</v>
      </c>
      <c r="V45" s="2">
        <v>1.8904000000000001</v>
      </c>
      <c r="W45" s="2">
        <v>1.8752</v>
      </c>
      <c r="X45" s="2">
        <v>1.8613</v>
      </c>
    </row>
    <row r="46" spans="4:24" x14ac:dyDescent="0.2">
      <c r="D46" s="1">
        <v>38</v>
      </c>
      <c r="E46" s="2">
        <v>4.0980999999999996</v>
      </c>
      <c r="F46" s="2">
        <v>3.2448000000000001</v>
      </c>
      <c r="G46" s="2">
        <v>2.8517000000000001</v>
      </c>
      <c r="H46" s="2">
        <v>2.6190000000000002</v>
      </c>
      <c r="I46" s="2">
        <v>2.4624999999999999</v>
      </c>
      <c r="J46" s="2">
        <v>2.3490000000000002</v>
      </c>
      <c r="K46" s="2">
        <v>2.2623000000000002</v>
      </c>
      <c r="L46" s="2">
        <v>2.1934999999999998</v>
      </c>
      <c r="M46" s="2">
        <v>2.1375000000000002</v>
      </c>
      <c r="N46" s="2">
        <v>2.0909</v>
      </c>
      <c r="O46" s="2">
        <v>2.0512999999999999</v>
      </c>
      <c r="P46" s="2">
        <v>2.0173000000000001</v>
      </c>
      <c r="Q46" s="2">
        <v>1.9877</v>
      </c>
      <c r="R46" s="2">
        <v>1.9617</v>
      </c>
      <c r="S46" s="2">
        <v>1.9386000000000001</v>
      </c>
      <c r="T46" s="2">
        <v>1.9178999999999999</v>
      </c>
      <c r="U46" s="2">
        <v>1.8994</v>
      </c>
      <c r="V46" s="2">
        <v>1.8826000000000001</v>
      </c>
      <c r="W46" s="2">
        <v>1.8673</v>
      </c>
      <c r="X46" s="2">
        <v>1.8533999999999999</v>
      </c>
    </row>
    <row r="47" spans="4:24" x14ac:dyDescent="0.2">
      <c r="D47" s="1">
        <v>39</v>
      </c>
      <c r="E47" s="2">
        <v>4.0913000000000004</v>
      </c>
      <c r="F47" s="2">
        <v>3.2381000000000002</v>
      </c>
      <c r="G47" s="2">
        <v>2.8451</v>
      </c>
      <c r="H47" s="2">
        <v>2.6122999999999998</v>
      </c>
      <c r="I47" s="2">
        <v>2.4558</v>
      </c>
      <c r="J47" s="2">
        <v>2.3422000000000001</v>
      </c>
      <c r="K47" s="2">
        <v>2.2555000000000001</v>
      </c>
      <c r="L47" s="2">
        <v>2.1867000000000001</v>
      </c>
      <c r="M47" s="2">
        <v>2.1305999999999998</v>
      </c>
      <c r="N47" s="2">
        <v>2.0838999999999999</v>
      </c>
      <c r="O47" s="2">
        <v>2.0442</v>
      </c>
      <c r="P47" s="2">
        <v>2.0102000000000002</v>
      </c>
      <c r="Q47" s="2">
        <v>1.9804999999999999</v>
      </c>
      <c r="R47" s="2">
        <v>1.9544999999999999</v>
      </c>
      <c r="S47" s="2">
        <v>1.9313</v>
      </c>
      <c r="T47" s="2">
        <v>1.9107000000000001</v>
      </c>
      <c r="U47" s="2">
        <v>1.8920999999999999</v>
      </c>
      <c r="V47" s="2">
        <v>1.8752</v>
      </c>
      <c r="W47" s="2">
        <v>1.8599000000000001</v>
      </c>
      <c r="X47" s="2">
        <v>1.8459000000000001</v>
      </c>
    </row>
    <row r="48" spans="4:24" x14ac:dyDescent="0.2">
      <c r="D48" s="1">
        <v>40</v>
      </c>
      <c r="E48" s="2">
        <v>4.0848000000000004</v>
      </c>
      <c r="F48" s="2">
        <v>3.2317</v>
      </c>
      <c r="G48" s="2">
        <v>2.8388</v>
      </c>
      <c r="H48" s="2">
        <v>2.6059999999999999</v>
      </c>
      <c r="I48" s="2">
        <v>2.4495</v>
      </c>
      <c r="J48" s="2">
        <v>2.3359000000000001</v>
      </c>
      <c r="K48" s="2">
        <v>2.2490000000000001</v>
      </c>
      <c r="L48" s="2">
        <v>2.1802000000000001</v>
      </c>
      <c r="M48" s="2">
        <v>2.1240000000000001</v>
      </c>
      <c r="N48" s="2">
        <v>2.0773000000000001</v>
      </c>
      <c r="O48" s="2">
        <v>2.0375999999999999</v>
      </c>
      <c r="P48" s="2">
        <v>2.0034999999999998</v>
      </c>
      <c r="Q48" s="2">
        <v>1.9738</v>
      </c>
      <c r="R48" s="2">
        <v>1.9476</v>
      </c>
      <c r="S48" s="2">
        <v>1.9245000000000001</v>
      </c>
      <c r="T48" s="2">
        <v>1.9037999999999999</v>
      </c>
      <c r="U48" s="2">
        <v>1.8851</v>
      </c>
      <c r="V48" s="2">
        <v>1.8682000000000001</v>
      </c>
      <c r="W48" s="2">
        <v>1.8529</v>
      </c>
      <c r="X48" s="2">
        <v>1.8389</v>
      </c>
    </row>
    <row r="49" spans="4:24" x14ac:dyDescent="0.2">
      <c r="D49" s="1" t="s">
        <v>10</v>
      </c>
      <c r="E49" s="1">
        <v>1</v>
      </c>
      <c r="F49" s="1">
        <v>2</v>
      </c>
      <c r="G49" s="1">
        <v>3</v>
      </c>
      <c r="H49" s="1">
        <v>4</v>
      </c>
      <c r="I49" s="1">
        <v>5</v>
      </c>
      <c r="J49" s="1">
        <v>6</v>
      </c>
      <c r="K49" s="1">
        <v>7</v>
      </c>
      <c r="L49" s="1">
        <v>8</v>
      </c>
      <c r="M49" s="1">
        <v>9</v>
      </c>
      <c r="N49" s="1">
        <v>10</v>
      </c>
      <c r="O49" s="1">
        <v>11</v>
      </c>
      <c r="P49" s="1">
        <v>12</v>
      </c>
      <c r="Q49" s="1">
        <v>13</v>
      </c>
      <c r="R49" s="1">
        <v>14</v>
      </c>
      <c r="S49" s="1">
        <v>15</v>
      </c>
      <c r="T49" s="1">
        <v>16</v>
      </c>
      <c r="U49" s="1">
        <v>17</v>
      </c>
      <c r="V49" s="1">
        <v>18</v>
      </c>
      <c r="W49" s="1">
        <v>19</v>
      </c>
      <c r="X49" s="1">
        <v>20</v>
      </c>
    </row>
    <row r="50" spans="4:24" x14ac:dyDescent="0.2">
      <c r="D50" s="1" t="s">
        <v>11</v>
      </c>
      <c r="E50" s="1" t="s">
        <v>12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4:24" x14ac:dyDescent="0.2">
      <c r="D51" s="1">
        <v>41</v>
      </c>
      <c r="E51" s="2">
        <v>4.0785999999999998</v>
      </c>
      <c r="F51" s="2">
        <v>3.2256999999999998</v>
      </c>
      <c r="G51" s="2">
        <v>2.8328000000000002</v>
      </c>
      <c r="H51" s="2">
        <v>2.6</v>
      </c>
      <c r="I51" s="2">
        <v>2.4434</v>
      </c>
      <c r="J51" s="2">
        <v>2.3298000000000001</v>
      </c>
      <c r="K51" s="2">
        <v>2.2429000000000001</v>
      </c>
      <c r="L51" s="2">
        <v>2.1739999999999999</v>
      </c>
      <c r="M51" s="2">
        <v>2.1177999999999999</v>
      </c>
      <c r="N51" s="2">
        <v>2.0710000000000002</v>
      </c>
      <c r="O51" s="2">
        <v>2.0312000000000001</v>
      </c>
      <c r="P51" s="2">
        <v>1.9971000000000001</v>
      </c>
      <c r="Q51" s="2">
        <v>1.9673</v>
      </c>
      <c r="R51" s="2">
        <v>1.9412</v>
      </c>
      <c r="S51" s="2">
        <v>1.9178999999999999</v>
      </c>
      <c r="T51" s="2">
        <v>1.8972</v>
      </c>
      <c r="U51" s="2">
        <v>1.8785000000000001</v>
      </c>
      <c r="V51" s="2">
        <v>1.8615999999999999</v>
      </c>
      <c r="W51" s="2">
        <v>1.8462000000000001</v>
      </c>
      <c r="X51" s="2">
        <v>1.8321000000000001</v>
      </c>
    </row>
    <row r="52" spans="4:24" x14ac:dyDescent="0.2">
      <c r="D52" s="1">
        <v>42</v>
      </c>
      <c r="E52" s="2">
        <v>4.0727000000000002</v>
      </c>
      <c r="F52" s="2">
        <v>3.2199</v>
      </c>
      <c r="G52" s="2">
        <v>2.8271000000000002</v>
      </c>
      <c r="H52" s="2">
        <v>2.5943000000000001</v>
      </c>
      <c r="I52" s="2">
        <v>2.4377</v>
      </c>
      <c r="J52" s="2">
        <v>2.3239999999999998</v>
      </c>
      <c r="K52" s="2">
        <v>2.2370999999999999</v>
      </c>
      <c r="L52" s="2">
        <v>2.1680999999999999</v>
      </c>
      <c r="M52" s="2">
        <v>2.1118999999999999</v>
      </c>
      <c r="N52" s="2">
        <v>2.0649999999999999</v>
      </c>
      <c r="O52" s="2">
        <v>2.0251999999999999</v>
      </c>
      <c r="P52" s="2">
        <v>1.9910000000000001</v>
      </c>
      <c r="Q52" s="2">
        <v>1.9612000000000001</v>
      </c>
      <c r="R52" s="2">
        <v>1.9350000000000001</v>
      </c>
      <c r="S52" s="2">
        <v>1.9117999999999999</v>
      </c>
      <c r="T52" s="2">
        <v>1.8909</v>
      </c>
      <c r="U52" s="2">
        <v>1.8722000000000001</v>
      </c>
      <c r="V52" s="2">
        <v>1.8552999999999999</v>
      </c>
      <c r="W52" s="2">
        <v>1.8399000000000001</v>
      </c>
      <c r="X52" s="2">
        <v>1.8258000000000001</v>
      </c>
    </row>
    <row r="53" spans="4:24" x14ac:dyDescent="0.2">
      <c r="D53" s="1">
        <v>43</v>
      </c>
      <c r="E53" s="2">
        <v>4.0670000000000002</v>
      </c>
      <c r="F53" s="2">
        <v>3.2145000000000001</v>
      </c>
      <c r="G53" s="2">
        <v>2.8216000000000001</v>
      </c>
      <c r="H53" s="2">
        <v>2.5888</v>
      </c>
      <c r="I53" s="2">
        <v>2.4321999999999999</v>
      </c>
      <c r="J53" s="2">
        <v>2.3184999999999998</v>
      </c>
      <c r="K53" s="2">
        <v>2.2315</v>
      </c>
      <c r="L53" s="2">
        <v>2.1625000000000001</v>
      </c>
      <c r="M53" s="2">
        <v>2.1061999999999999</v>
      </c>
      <c r="N53" s="2">
        <v>2.0592999999999999</v>
      </c>
      <c r="O53" s="2">
        <v>2.0194999999999999</v>
      </c>
      <c r="P53" s="2">
        <v>1.9852000000000001</v>
      </c>
      <c r="Q53" s="2">
        <v>1.9554</v>
      </c>
      <c r="R53" s="2">
        <v>1.9292</v>
      </c>
      <c r="S53" s="2">
        <v>1.9058999999999999</v>
      </c>
      <c r="T53" s="2">
        <v>1.885</v>
      </c>
      <c r="U53" s="2">
        <v>1.8663000000000001</v>
      </c>
      <c r="V53" s="2">
        <v>1.8492999999999999</v>
      </c>
      <c r="W53" s="2">
        <v>1.8338000000000001</v>
      </c>
      <c r="X53" s="2">
        <v>1.8197000000000001</v>
      </c>
    </row>
    <row r="54" spans="4:24" x14ac:dyDescent="0.2">
      <c r="D54" s="1">
        <v>44</v>
      </c>
      <c r="E54" s="2">
        <v>4.0617000000000001</v>
      </c>
      <c r="F54" s="2">
        <v>3.2092999999999998</v>
      </c>
      <c r="G54" s="2">
        <v>2.8165</v>
      </c>
      <c r="H54" s="2">
        <v>2.5836999999999999</v>
      </c>
      <c r="I54" s="2">
        <v>2.4270999999999998</v>
      </c>
      <c r="J54" s="2">
        <v>2.3132999999999999</v>
      </c>
      <c r="K54" s="2">
        <v>2.2262</v>
      </c>
      <c r="L54" s="2">
        <v>2.1572</v>
      </c>
      <c r="M54" s="2">
        <v>2.1009000000000002</v>
      </c>
      <c r="N54" s="2">
        <v>2.0539000000000001</v>
      </c>
      <c r="O54" s="2">
        <v>2.0139999999999998</v>
      </c>
      <c r="P54" s="2">
        <v>1.9797</v>
      </c>
      <c r="Q54" s="2">
        <v>1.9499</v>
      </c>
      <c r="R54" s="2">
        <v>1.9236</v>
      </c>
      <c r="S54" s="2">
        <v>1.9001999999999999</v>
      </c>
      <c r="T54" s="2">
        <v>1.8794</v>
      </c>
      <c r="U54" s="2">
        <v>1.8606</v>
      </c>
      <c r="V54" s="2">
        <v>1.8435999999999999</v>
      </c>
      <c r="W54" s="2">
        <v>1.8281000000000001</v>
      </c>
      <c r="X54" s="2">
        <v>1.8139000000000001</v>
      </c>
    </row>
    <row r="55" spans="4:24" x14ac:dyDescent="0.2">
      <c r="D55" s="1">
        <v>45</v>
      </c>
      <c r="E55" s="2">
        <v>4.0566000000000004</v>
      </c>
      <c r="F55" s="2">
        <v>3.2042999999999999</v>
      </c>
      <c r="G55" s="2">
        <v>2.8115000000000001</v>
      </c>
      <c r="H55" s="2">
        <v>2.5787</v>
      </c>
      <c r="I55" s="2">
        <v>2.4220999999999999</v>
      </c>
      <c r="J55" s="2">
        <v>2.3083</v>
      </c>
      <c r="K55" s="2">
        <v>2.2212000000000001</v>
      </c>
      <c r="L55" s="2">
        <v>2.1520999999999999</v>
      </c>
      <c r="M55" s="2">
        <v>2.0958000000000001</v>
      </c>
      <c r="N55" s="2">
        <v>2.0487000000000002</v>
      </c>
      <c r="O55" s="2">
        <v>2.0087999999999999</v>
      </c>
      <c r="P55" s="2">
        <v>1.9744999999999999</v>
      </c>
      <c r="Q55" s="2">
        <v>1.9446000000000001</v>
      </c>
      <c r="R55" s="2">
        <v>1.9181999999999999</v>
      </c>
      <c r="S55" s="2">
        <v>1.8949</v>
      </c>
      <c r="T55" s="2">
        <v>1.8740000000000001</v>
      </c>
      <c r="U55" s="2">
        <v>1.8551</v>
      </c>
      <c r="V55" s="2">
        <v>1.8381000000000001</v>
      </c>
      <c r="W55" s="2">
        <v>1.8226</v>
      </c>
      <c r="X55" s="2">
        <v>1.8084</v>
      </c>
    </row>
    <row r="56" spans="4:24" x14ac:dyDescent="0.2">
      <c r="D56" s="1">
        <v>46</v>
      </c>
      <c r="E56" s="2">
        <v>4.0518000000000001</v>
      </c>
      <c r="F56" s="2">
        <v>3.1996000000000002</v>
      </c>
      <c r="G56" s="2">
        <v>2.8068</v>
      </c>
      <c r="H56" s="2">
        <v>2.5739999999999998</v>
      </c>
      <c r="I56" s="2">
        <v>2.4174000000000002</v>
      </c>
      <c r="J56" s="2">
        <v>2.3035000000000001</v>
      </c>
      <c r="K56" s="2">
        <v>2.2164000000000001</v>
      </c>
      <c r="L56" s="2">
        <v>2.1473</v>
      </c>
      <c r="M56" s="2">
        <v>2.0909</v>
      </c>
      <c r="N56" s="2">
        <v>2.0438000000000001</v>
      </c>
      <c r="O56" s="2">
        <v>2.0038999999999998</v>
      </c>
      <c r="P56" s="2">
        <v>1.9695</v>
      </c>
      <c r="Q56" s="2">
        <v>1.9395</v>
      </c>
      <c r="R56" s="2">
        <v>1.9132</v>
      </c>
      <c r="S56" s="2">
        <v>1.8897999999999999</v>
      </c>
      <c r="T56" s="2">
        <v>1.8688</v>
      </c>
      <c r="U56" s="2">
        <v>1.85</v>
      </c>
      <c r="V56" s="2">
        <v>1.8329</v>
      </c>
      <c r="W56" s="2">
        <v>1.8172999999999999</v>
      </c>
      <c r="X56" s="2">
        <v>1.8030999999999999</v>
      </c>
    </row>
    <row r="57" spans="4:24" x14ac:dyDescent="0.2">
      <c r="D57" s="1">
        <v>47</v>
      </c>
      <c r="E57" s="2">
        <v>4.0471000000000004</v>
      </c>
      <c r="F57" s="2">
        <v>3.1951000000000001</v>
      </c>
      <c r="G57" s="2">
        <v>2.8024</v>
      </c>
      <c r="H57" s="2">
        <v>2.5695000000000001</v>
      </c>
      <c r="I57" s="2">
        <v>2.4127999999999998</v>
      </c>
      <c r="J57" s="2">
        <v>2.2989999999999999</v>
      </c>
      <c r="K57" s="2">
        <v>2.2118000000000002</v>
      </c>
      <c r="L57" s="2">
        <v>2.1427</v>
      </c>
      <c r="M57" s="2">
        <v>2.0861999999999998</v>
      </c>
      <c r="N57" s="2">
        <v>2.0390999999999999</v>
      </c>
      <c r="O57" s="2">
        <v>1.9991000000000001</v>
      </c>
      <c r="P57" s="2">
        <v>1.9646999999999999</v>
      </c>
      <c r="Q57" s="2">
        <v>1.9347000000000001</v>
      </c>
      <c r="R57" s="2">
        <v>1.9083000000000001</v>
      </c>
      <c r="S57" s="2">
        <v>1.8849</v>
      </c>
      <c r="T57" s="2">
        <v>1.8638999999999999</v>
      </c>
      <c r="U57" s="2">
        <v>1.845</v>
      </c>
      <c r="V57" s="2">
        <v>1.8279000000000001</v>
      </c>
      <c r="W57" s="2">
        <v>1.8123</v>
      </c>
      <c r="X57" s="2">
        <v>1.798</v>
      </c>
    </row>
    <row r="58" spans="4:24" x14ac:dyDescent="0.2">
      <c r="D58" s="1">
        <v>48</v>
      </c>
      <c r="E58" s="2">
        <v>4.0426000000000002</v>
      </c>
      <c r="F58" s="2">
        <v>3.1907000000000001</v>
      </c>
      <c r="G58" s="2">
        <v>2.7980999999999998</v>
      </c>
      <c r="H58" s="2">
        <v>2.5653000000000001</v>
      </c>
      <c r="I58" s="2">
        <v>2.4085000000000001</v>
      </c>
      <c r="J58" s="2">
        <v>2.2946</v>
      </c>
      <c r="K58" s="2">
        <v>2.2073999999999998</v>
      </c>
      <c r="L58" s="2">
        <v>2.1381999999999999</v>
      </c>
      <c r="M58" s="2">
        <v>2.0817000000000001</v>
      </c>
      <c r="N58" s="2">
        <v>2.0346000000000002</v>
      </c>
      <c r="O58" s="2">
        <v>1.9945999999999999</v>
      </c>
      <c r="P58" s="2">
        <v>1.9601</v>
      </c>
      <c r="Q58" s="2">
        <v>1.9300999999999999</v>
      </c>
      <c r="R58" s="2">
        <v>1.9036999999999999</v>
      </c>
      <c r="S58" s="2">
        <v>1.8802000000000001</v>
      </c>
      <c r="T58" s="2">
        <v>1.8592</v>
      </c>
      <c r="U58" s="2">
        <v>1.8402000000000001</v>
      </c>
      <c r="V58" s="2">
        <v>1.8230999999999999</v>
      </c>
      <c r="W58" s="2">
        <v>1.8075000000000001</v>
      </c>
      <c r="X58" s="2">
        <v>1.7931999999999999</v>
      </c>
    </row>
    <row r="59" spans="4:24" x14ac:dyDescent="0.2">
      <c r="D59" s="1">
        <v>49</v>
      </c>
      <c r="E59" s="2">
        <v>4.0384000000000002</v>
      </c>
      <c r="F59" s="2">
        <v>3.1865999999999999</v>
      </c>
      <c r="G59" s="2">
        <v>2.7938999999999998</v>
      </c>
      <c r="H59" s="2">
        <v>2.5611000000000002</v>
      </c>
      <c r="I59" s="2">
        <v>2.4043999999999999</v>
      </c>
      <c r="J59" s="2">
        <v>2.2904</v>
      </c>
      <c r="K59" s="2">
        <v>2.2031999999999998</v>
      </c>
      <c r="L59" s="2">
        <v>2.1339999999999999</v>
      </c>
      <c r="M59" s="2">
        <v>2.0773999999999999</v>
      </c>
      <c r="N59" s="2">
        <v>2.0303</v>
      </c>
      <c r="O59" s="2">
        <v>1.9902</v>
      </c>
      <c r="P59" s="2">
        <v>1.9558</v>
      </c>
      <c r="Q59" s="2">
        <v>1.9257</v>
      </c>
      <c r="R59" s="2">
        <v>1.8992</v>
      </c>
      <c r="S59" s="2">
        <v>1.8756999999999999</v>
      </c>
      <c r="T59" s="2">
        <v>1.8547</v>
      </c>
      <c r="U59" s="2">
        <v>1.8357000000000001</v>
      </c>
      <c r="V59" s="2">
        <v>1.8185</v>
      </c>
      <c r="W59" s="2">
        <v>1.8028999999999999</v>
      </c>
      <c r="X59" s="2">
        <v>1.7886</v>
      </c>
    </row>
    <row r="60" spans="4:24" x14ac:dyDescent="0.2">
      <c r="D60" s="1">
        <v>50</v>
      </c>
      <c r="E60" s="2">
        <v>4.0343</v>
      </c>
      <c r="F60" s="2">
        <v>3.1825999999999999</v>
      </c>
      <c r="G60" s="2">
        <v>2.79</v>
      </c>
      <c r="H60" s="2">
        <v>2.5571999999999999</v>
      </c>
      <c r="I60" s="2">
        <v>2.4003999999999999</v>
      </c>
      <c r="J60" s="2">
        <v>2.2864</v>
      </c>
      <c r="K60" s="2">
        <v>2.1991999999999998</v>
      </c>
      <c r="L60" s="2">
        <v>2.1299000000000001</v>
      </c>
      <c r="M60" s="2">
        <v>2.0733999999999999</v>
      </c>
      <c r="N60" s="2">
        <v>2.0261</v>
      </c>
      <c r="O60" s="2">
        <v>1.9861</v>
      </c>
      <c r="P60" s="2">
        <v>1.9515</v>
      </c>
      <c r="Q60" s="2">
        <v>1.9214</v>
      </c>
      <c r="R60" s="2">
        <v>1.8949</v>
      </c>
      <c r="S60" s="2">
        <v>1.8714</v>
      </c>
      <c r="T60" s="2">
        <v>1.8503000000000001</v>
      </c>
      <c r="U60" s="2">
        <v>1.8312999999999999</v>
      </c>
      <c r="V60" s="2">
        <v>1.8141</v>
      </c>
      <c r="W60" s="2">
        <v>1.7985</v>
      </c>
      <c r="X60" s="2">
        <v>1.7841</v>
      </c>
    </row>
    <row r="61" spans="4:24" x14ac:dyDescent="0.2">
      <c r="D61" s="1">
        <v>51</v>
      </c>
      <c r="E61" s="2">
        <v>4.0303000000000004</v>
      </c>
      <c r="F61" s="2">
        <v>3.1787999999999998</v>
      </c>
      <c r="G61" s="2">
        <v>2.7862</v>
      </c>
      <c r="H61" s="2">
        <v>2.5533999999999999</v>
      </c>
      <c r="I61" s="2">
        <v>2.3965999999999998</v>
      </c>
      <c r="J61" s="2">
        <v>2.2826</v>
      </c>
      <c r="K61" s="2">
        <v>2.1953</v>
      </c>
      <c r="L61" s="2">
        <v>2.1259999999999999</v>
      </c>
      <c r="M61" s="2">
        <v>2.0693999999999999</v>
      </c>
      <c r="N61" s="2">
        <v>2.0222000000000002</v>
      </c>
      <c r="O61" s="2">
        <v>1.982</v>
      </c>
      <c r="P61" s="2">
        <v>1.9475</v>
      </c>
      <c r="Q61" s="2">
        <v>1.9174</v>
      </c>
      <c r="R61" s="2">
        <v>1.8908</v>
      </c>
      <c r="S61" s="2">
        <v>1.8673</v>
      </c>
      <c r="T61" s="2">
        <v>1.8462000000000001</v>
      </c>
      <c r="U61" s="2">
        <v>1.8271999999999999</v>
      </c>
      <c r="V61" s="2">
        <v>1.8099000000000001</v>
      </c>
      <c r="W61" s="2">
        <v>1.7942</v>
      </c>
      <c r="X61" s="2">
        <v>1.7798</v>
      </c>
    </row>
    <row r="62" spans="4:24" x14ac:dyDescent="0.2">
      <c r="D62" s="1">
        <v>52</v>
      </c>
      <c r="E62" s="2">
        <v>4.0266000000000002</v>
      </c>
      <c r="F62" s="2">
        <v>3.1751999999999998</v>
      </c>
      <c r="G62" s="2">
        <v>2.7826</v>
      </c>
      <c r="H62" s="2">
        <v>2.5497999999999998</v>
      </c>
      <c r="I62" s="2">
        <v>2.3929</v>
      </c>
      <c r="J62" s="2">
        <v>2.2789000000000001</v>
      </c>
      <c r="K62" s="2">
        <v>2.1916000000000002</v>
      </c>
      <c r="L62" s="2">
        <v>2.1223000000000001</v>
      </c>
      <c r="M62" s="2">
        <v>2.0655999999999999</v>
      </c>
      <c r="N62" s="2">
        <v>2.0184000000000002</v>
      </c>
      <c r="O62" s="2">
        <v>1.9782</v>
      </c>
      <c r="P62" s="2">
        <v>1.9436</v>
      </c>
      <c r="Q62" s="2">
        <v>1.9134</v>
      </c>
      <c r="R62" s="2">
        <v>1.8869</v>
      </c>
      <c r="S62" s="2">
        <v>1.8633</v>
      </c>
      <c r="T62" s="2">
        <v>1.8422000000000001</v>
      </c>
      <c r="U62" s="2">
        <v>1.8230999999999999</v>
      </c>
      <c r="V62" s="2">
        <v>1.8059000000000001</v>
      </c>
      <c r="W62" s="2">
        <v>1.7901</v>
      </c>
      <c r="X62" s="2">
        <v>1.7758</v>
      </c>
    </row>
    <row r="63" spans="4:24" x14ac:dyDescent="0.2">
      <c r="D63" s="1">
        <v>53</v>
      </c>
      <c r="E63" s="2">
        <v>4.0229999999999997</v>
      </c>
      <c r="F63" s="2">
        <v>3.1716000000000002</v>
      </c>
      <c r="G63" s="2">
        <v>2.7791000000000001</v>
      </c>
      <c r="H63" s="2">
        <v>2.5463</v>
      </c>
      <c r="I63" s="2">
        <v>2.3894000000000002</v>
      </c>
      <c r="J63" s="2">
        <v>2.2753999999999999</v>
      </c>
      <c r="K63" s="2">
        <v>2.1880999999999999</v>
      </c>
      <c r="L63" s="2">
        <v>2.1187</v>
      </c>
      <c r="M63" s="2">
        <v>2.0619999999999998</v>
      </c>
      <c r="N63" s="2">
        <v>2.0146999999999999</v>
      </c>
      <c r="O63" s="2">
        <v>1.9744999999999999</v>
      </c>
      <c r="P63" s="2">
        <v>1.9399</v>
      </c>
      <c r="Q63" s="2">
        <v>1.9097</v>
      </c>
      <c r="R63" s="2">
        <v>1.8831</v>
      </c>
      <c r="S63" s="2">
        <v>1.8594999999999999</v>
      </c>
      <c r="T63" s="2">
        <v>1.8383</v>
      </c>
      <c r="U63" s="2">
        <v>1.8192999999999999</v>
      </c>
      <c r="V63" s="2">
        <v>1.802</v>
      </c>
      <c r="W63" s="2">
        <v>1.7862</v>
      </c>
      <c r="X63" s="2">
        <v>1.7718</v>
      </c>
    </row>
    <row r="64" spans="4:24" x14ac:dyDescent="0.2">
      <c r="D64" s="1">
        <v>54</v>
      </c>
      <c r="E64" s="2">
        <v>4.0195999999999996</v>
      </c>
      <c r="F64" s="2">
        <v>3.1682999999999999</v>
      </c>
      <c r="G64" s="2">
        <v>2.7757000000000001</v>
      </c>
      <c r="H64" s="2">
        <v>2.5428999999999999</v>
      </c>
      <c r="I64" s="2">
        <v>2.3860999999999999</v>
      </c>
      <c r="J64" s="2">
        <v>2.2719999999999998</v>
      </c>
      <c r="K64" s="2">
        <v>2.1846000000000001</v>
      </c>
      <c r="L64" s="2">
        <v>2.1152000000000002</v>
      </c>
      <c r="M64" s="2">
        <v>2.0585</v>
      </c>
      <c r="N64" s="2">
        <v>2.0112000000000001</v>
      </c>
      <c r="O64" s="2">
        <v>1.9710000000000001</v>
      </c>
      <c r="P64" s="2">
        <v>1.9362999999999999</v>
      </c>
      <c r="Q64" s="2">
        <v>1.9060999999999999</v>
      </c>
      <c r="R64" s="2">
        <v>1.8794999999999999</v>
      </c>
      <c r="S64" s="2">
        <v>1.8557999999999999</v>
      </c>
      <c r="T64" s="2">
        <v>1.8346</v>
      </c>
      <c r="U64" s="2">
        <v>1.8154999999999999</v>
      </c>
      <c r="V64" s="2">
        <v>1.7982</v>
      </c>
      <c r="W64" s="2">
        <v>1.7825</v>
      </c>
      <c r="X64" s="2">
        <v>1.768</v>
      </c>
    </row>
    <row r="65" spans="4:24" x14ac:dyDescent="0.2">
      <c r="D65" s="1">
        <v>55</v>
      </c>
      <c r="E65" s="2">
        <v>4.0162000000000004</v>
      </c>
      <c r="F65" s="2">
        <v>3.165</v>
      </c>
      <c r="G65" s="2">
        <v>2.7725</v>
      </c>
      <c r="H65" s="2">
        <v>2.5396999999999998</v>
      </c>
      <c r="I65" s="2">
        <v>2.3828</v>
      </c>
      <c r="J65" s="2">
        <v>2.2686999999999999</v>
      </c>
      <c r="K65" s="2">
        <v>2.1812999999999998</v>
      </c>
      <c r="L65" s="2">
        <v>2.1118999999999999</v>
      </c>
      <c r="M65" s="2">
        <v>2.0552000000000001</v>
      </c>
      <c r="N65" s="2">
        <v>2.0078</v>
      </c>
      <c r="O65" s="2">
        <v>1.9676</v>
      </c>
      <c r="P65" s="2">
        <v>1.9329000000000001</v>
      </c>
      <c r="Q65" s="2">
        <v>1.9026000000000001</v>
      </c>
      <c r="R65" s="2">
        <v>1.8759999999999999</v>
      </c>
      <c r="S65" s="2">
        <v>1.8523000000000001</v>
      </c>
      <c r="T65" s="2">
        <v>1.8310999999999999</v>
      </c>
      <c r="U65" s="2">
        <v>1.8120000000000001</v>
      </c>
      <c r="V65" s="2">
        <v>1.7946</v>
      </c>
      <c r="W65" s="2">
        <v>1.7787999999999999</v>
      </c>
      <c r="X65" s="2">
        <v>1.7644</v>
      </c>
    </row>
    <row r="66" spans="4:24" x14ac:dyDescent="0.2">
      <c r="D66" s="1">
        <v>56</v>
      </c>
      <c r="E66" s="2">
        <v>4.0129000000000001</v>
      </c>
      <c r="F66" s="2">
        <v>3.1617999999999999</v>
      </c>
      <c r="G66" s="2">
        <v>2.7694000000000001</v>
      </c>
      <c r="H66" s="2">
        <v>2.5366</v>
      </c>
      <c r="I66" s="2">
        <v>2.3797000000000001</v>
      </c>
      <c r="J66" s="2">
        <v>2.2656000000000001</v>
      </c>
      <c r="K66" s="2">
        <v>2.1781000000000001</v>
      </c>
      <c r="L66" s="2">
        <v>2.1086999999999998</v>
      </c>
      <c r="M66" s="2">
        <v>2.0518999999999998</v>
      </c>
      <c r="N66" s="2">
        <v>2.0045000000000002</v>
      </c>
      <c r="O66" s="2">
        <v>1.9641999999999999</v>
      </c>
      <c r="P66" s="2">
        <v>1.9296</v>
      </c>
      <c r="Q66" s="2">
        <v>1.8993</v>
      </c>
      <c r="R66" s="2">
        <v>1.8726</v>
      </c>
      <c r="S66" s="2">
        <v>1.8489</v>
      </c>
      <c r="T66" s="2">
        <v>1.8275999999999999</v>
      </c>
      <c r="U66" s="2">
        <v>1.8085</v>
      </c>
      <c r="V66" s="2">
        <v>1.7911999999999999</v>
      </c>
      <c r="W66" s="2">
        <v>1.7753000000000001</v>
      </c>
      <c r="X66" s="2">
        <v>1.7607999999999999</v>
      </c>
    </row>
    <row r="67" spans="4:24" x14ac:dyDescent="0.2">
      <c r="D67" s="1">
        <v>57</v>
      </c>
      <c r="E67" s="2">
        <v>4.0099</v>
      </c>
      <c r="F67" s="2">
        <v>3.1589</v>
      </c>
      <c r="G67" s="2">
        <v>2.7665000000000002</v>
      </c>
      <c r="H67" s="2">
        <v>2.5335999999999999</v>
      </c>
      <c r="I67" s="2">
        <v>2.3767</v>
      </c>
      <c r="J67" s="2">
        <v>2.2625000000000002</v>
      </c>
      <c r="K67" s="2">
        <v>2.1751</v>
      </c>
      <c r="L67" s="2">
        <v>2.1055999999999999</v>
      </c>
      <c r="M67" s="2">
        <v>2.0488</v>
      </c>
      <c r="N67" s="2">
        <v>2.0013999999999998</v>
      </c>
      <c r="O67" s="2">
        <v>1.9611000000000001</v>
      </c>
      <c r="P67" s="2">
        <v>1.9263999999999999</v>
      </c>
      <c r="Q67" s="2">
        <v>1.8959999999999999</v>
      </c>
      <c r="R67" s="2">
        <v>1.8693</v>
      </c>
      <c r="S67" s="2">
        <v>1.8455999999999999</v>
      </c>
      <c r="T67" s="2">
        <v>1.8244</v>
      </c>
      <c r="U67" s="2">
        <v>1.8051999999999999</v>
      </c>
      <c r="V67" s="2">
        <v>1.7878000000000001</v>
      </c>
      <c r="W67" s="2">
        <v>1.772</v>
      </c>
      <c r="X67" s="2">
        <v>1.7575000000000001</v>
      </c>
    </row>
    <row r="68" spans="4:24" x14ac:dyDescent="0.2">
      <c r="D68" s="1">
        <v>58</v>
      </c>
      <c r="E68" s="2">
        <v>4.0068999999999999</v>
      </c>
      <c r="F68" s="2">
        <v>3.1558999999999999</v>
      </c>
      <c r="G68" s="2">
        <v>2.7635000000000001</v>
      </c>
      <c r="H68" s="2">
        <v>2.5306999999999999</v>
      </c>
      <c r="I68" s="2">
        <v>2.3738000000000001</v>
      </c>
      <c r="J68" s="2">
        <v>2.2595999999999998</v>
      </c>
      <c r="K68" s="2">
        <v>2.1720999999999999</v>
      </c>
      <c r="L68" s="2">
        <v>2.1025999999999998</v>
      </c>
      <c r="M68" s="2">
        <v>2.0457999999999998</v>
      </c>
      <c r="N68" s="2">
        <v>1.9983</v>
      </c>
      <c r="O68" s="2">
        <v>1.958</v>
      </c>
      <c r="P68" s="2">
        <v>1.9233</v>
      </c>
      <c r="Q68" s="2">
        <v>1.8929</v>
      </c>
      <c r="R68" s="2">
        <v>1.8662000000000001</v>
      </c>
      <c r="S68" s="2">
        <v>1.8424</v>
      </c>
      <c r="T68" s="2">
        <v>1.8211999999999999</v>
      </c>
      <c r="U68" s="2">
        <v>1.802</v>
      </c>
      <c r="V68" s="2">
        <v>1.7846</v>
      </c>
      <c r="W68" s="2">
        <v>1.7686999999999999</v>
      </c>
      <c r="X68" s="2">
        <v>1.7542</v>
      </c>
    </row>
    <row r="69" spans="4:24" x14ac:dyDescent="0.2">
      <c r="D69" s="1">
        <v>59</v>
      </c>
      <c r="E69" s="2">
        <v>4.0038999999999998</v>
      </c>
      <c r="F69" s="2">
        <v>3.1530999999999998</v>
      </c>
      <c r="G69" s="2">
        <v>2.7608000000000001</v>
      </c>
      <c r="H69" s="2">
        <v>2.5278999999999998</v>
      </c>
      <c r="I69" s="2">
        <v>2.371</v>
      </c>
      <c r="J69" s="2">
        <v>2.2568000000000001</v>
      </c>
      <c r="K69" s="2">
        <v>2.1692999999999998</v>
      </c>
      <c r="L69" s="2">
        <v>2.0996999999999999</v>
      </c>
      <c r="M69" s="2">
        <v>2.0428999999999999</v>
      </c>
      <c r="N69" s="2">
        <v>1.9954000000000001</v>
      </c>
      <c r="O69" s="2">
        <v>1.9551000000000001</v>
      </c>
      <c r="P69" s="2">
        <v>1.9202999999999999</v>
      </c>
      <c r="Q69" s="2">
        <v>1.8898999999999999</v>
      </c>
      <c r="R69" s="2">
        <v>1.8632</v>
      </c>
      <c r="S69" s="2">
        <v>1.8393999999999999</v>
      </c>
      <c r="T69" s="2">
        <v>1.8181</v>
      </c>
      <c r="U69" s="2">
        <v>1.7988999999999999</v>
      </c>
      <c r="V69" s="2">
        <v>1.7815000000000001</v>
      </c>
      <c r="W69" s="2">
        <v>1.7656000000000001</v>
      </c>
      <c r="X69" s="2">
        <v>1.7509999999999999</v>
      </c>
    </row>
    <row r="70" spans="4:24" x14ac:dyDescent="0.2">
      <c r="D70" s="1">
        <v>60</v>
      </c>
      <c r="E70" s="2">
        <v>4.0011999999999999</v>
      </c>
      <c r="F70" s="2">
        <v>3.1503999999999999</v>
      </c>
      <c r="G70" s="2">
        <v>2.7581000000000002</v>
      </c>
      <c r="H70" s="2">
        <v>2.5251999999999999</v>
      </c>
      <c r="I70" s="2">
        <v>2.3683000000000001</v>
      </c>
      <c r="J70" s="2">
        <v>2.254</v>
      </c>
      <c r="K70" s="2">
        <v>2.1665000000000001</v>
      </c>
      <c r="L70" s="2">
        <v>2.097</v>
      </c>
      <c r="M70" s="2">
        <v>2.0400999999999998</v>
      </c>
      <c r="N70" s="2">
        <v>1.9925999999999999</v>
      </c>
      <c r="O70" s="2">
        <v>1.9521999999999999</v>
      </c>
      <c r="P70" s="2">
        <v>1.9174</v>
      </c>
      <c r="Q70" s="2">
        <v>1.887</v>
      </c>
      <c r="R70" s="2">
        <v>1.8603000000000001</v>
      </c>
      <c r="S70" s="2">
        <v>1.8364</v>
      </c>
      <c r="T70" s="2">
        <v>1.8150999999999999</v>
      </c>
      <c r="U70" s="2">
        <v>1.7959000000000001</v>
      </c>
      <c r="V70" s="2">
        <v>1.7784</v>
      </c>
      <c r="W70" s="2">
        <v>1.7625</v>
      </c>
      <c r="X70" s="2">
        <v>1.748</v>
      </c>
    </row>
    <row r="71" spans="4:24" x14ac:dyDescent="0.2">
      <c r="D71" s="1" t="s">
        <v>10</v>
      </c>
      <c r="E71" s="1">
        <v>1</v>
      </c>
      <c r="F71" s="1">
        <v>2</v>
      </c>
      <c r="G71" s="1">
        <v>3</v>
      </c>
      <c r="H71" s="1">
        <v>4</v>
      </c>
      <c r="I71" s="1">
        <v>5</v>
      </c>
      <c r="J71" s="1">
        <v>6</v>
      </c>
      <c r="K71" s="1">
        <v>7</v>
      </c>
      <c r="L71" s="1">
        <v>8</v>
      </c>
      <c r="M71" s="1">
        <v>9</v>
      </c>
      <c r="N71" s="1">
        <v>10</v>
      </c>
      <c r="O71" s="1">
        <v>11</v>
      </c>
      <c r="P71" s="1">
        <v>12</v>
      </c>
      <c r="Q71" s="1">
        <v>13</v>
      </c>
      <c r="R71" s="1">
        <v>14</v>
      </c>
      <c r="S71" s="1">
        <v>15</v>
      </c>
      <c r="T71" s="1">
        <v>16</v>
      </c>
      <c r="U71" s="1">
        <v>17</v>
      </c>
      <c r="V71" s="1">
        <v>18</v>
      </c>
      <c r="W71" s="1">
        <v>19</v>
      </c>
      <c r="X71" s="1">
        <v>20</v>
      </c>
    </row>
    <row r="72" spans="4:24" x14ac:dyDescent="0.2">
      <c r="D72" s="1" t="s">
        <v>11</v>
      </c>
      <c r="E72" s="1" t="s">
        <v>12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4:24" x14ac:dyDescent="0.2">
      <c r="D73" s="1">
        <v>61</v>
      </c>
      <c r="E73" s="2">
        <v>3.9984999999999999</v>
      </c>
      <c r="F73" s="2">
        <v>3.1478000000000002</v>
      </c>
      <c r="G73" s="2">
        <v>2.7555000000000001</v>
      </c>
      <c r="H73" s="2">
        <v>2.5226000000000002</v>
      </c>
      <c r="I73" s="2">
        <v>2.3656999999999999</v>
      </c>
      <c r="J73" s="2">
        <v>2.2513999999999998</v>
      </c>
      <c r="K73" s="2">
        <v>2.1638999999999999</v>
      </c>
      <c r="L73" s="2">
        <v>2.0943000000000001</v>
      </c>
      <c r="M73" s="2">
        <v>2.0373999999999999</v>
      </c>
      <c r="N73" s="2">
        <v>1.9899</v>
      </c>
      <c r="O73" s="2">
        <v>1.9495</v>
      </c>
      <c r="P73" s="2">
        <v>1.9146000000000001</v>
      </c>
      <c r="Q73" s="2">
        <v>1.8842000000000001</v>
      </c>
      <c r="R73" s="2">
        <v>1.8573999999999999</v>
      </c>
      <c r="S73" s="2">
        <v>1.8335999999999999</v>
      </c>
      <c r="T73" s="2">
        <v>1.8122</v>
      </c>
      <c r="U73" s="2">
        <v>1.7929999999999999</v>
      </c>
      <c r="V73" s="2">
        <v>1.7755000000000001</v>
      </c>
      <c r="W73" s="2">
        <v>1.7596000000000001</v>
      </c>
      <c r="X73" s="2">
        <v>1.7450000000000001</v>
      </c>
    </row>
    <row r="74" spans="4:24" x14ac:dyDescent="0.2">
      <c r="D74" s="1">
        <v>62</v>
      </c>
      <c r="E74" s="2">
        <v>3.9958999999999998</v>
      </c>
      <c r="F74" s="2">
        <v>3.1453000000000002</v>
      </c>
      <c r="G74" s="2">
        <v>2.7530000000000001</v>
      </c>
      <c r="H74" s="2">
        <v>2.5200999999999998</v>
      </c>
      <c r="I74" s="2">
        <v>2.3631000000000002</v>
      </c>
      <c r="J74" s="2">
        <v>2.2488999999999999</v>
      </c>
      <c r="K74" s="2">
        <v>2.1613000000000002</v>
      </c>
      <c r="L74" s="2">
        <v>2.0916999999999999</v>
      </c>
      <c r="M74" s="2">
        <v>2.0348000000000002</v>
      </c>
      <c r="N74" s="2">
        <v>1.9872000000000001</v>
      </c>
      <c r="O74" s="2">
        <v>1.9468000000000001</v>
      </c>
      <c r="P74" s="2">
        <v>1.9118999999999999</v>
      </c>
      <c r="Q74" s="2">
        <v>1.8815</v>
      </c>
      <c r="R74" s="2">
        <v>1.8547</v>
      </c>
      <c r="S74" s="2">
        <v>1.8308</v>
      </c>
      <c r="T74" s="2">
        <v>1.8095000000000001</v>
      </c>
      <c r="U74" s="2">
        <v>1.7902</v>
      </c>
      <c r="V74" s="2">
        <v>1.7726999999999999</v>
      </c>
      <c r="W74" s="2">
        <v>1.7567999999999999</v>
      </c>
      <c r="X74" s="2">
        <v>1.7422</v>
      </c>
    </row>
    <row r="75" spans="4:24" x14ac:dyDescent="0.2">
      <c r="D75" s="1">
        <v>63</v>
      </c>
      <c r="E75" s="2">
        <v>3.9933999999999998</v>
      </c>
      <c r="F75" s="2">
        <v>3.1427999999999998</v>
      </c>
      <c r="G75" s="2">
        <v>2.7505999999999999</v>
      </c>
      <c r="H75" s="2">
        <v>2.5175999999999998</v>
      </c>
      <c r="I75" s="2">
        <v>2.3607</v>
      </c>
      <c r="J75" s="2">
        <v>2.2464</v>
      </c>
      <c r="K75" s="2">
        <v>2.1587999999999998</v>
      </c>
      <c r="L75" s="2">
        <v>2.0891999999999999</v>
      </c>
      <c r="M75" s="2">
        <v>2.0322</v>
      </c>
      <c r="N75" s="2">
        <v>1.9846999999999999</v>
      </c>
      <c r="O75" s="2">
        <v>1.9441999999999999</v>
      </c>
      <c r="P75" s="2">
        <v>1.9093</v>
      </c>
      <c r="Q75" s="2">
        <v>1.8789</v>
      </c>
      <c r="R75" s="2">
        <v>1.8520000000000001</v>
      </c>
      <c r="S75" s="2">
        <v>1.8282</v>
      </c>
      <c r="T75" s="2">
        <v>1.8068</v>
      </c>
      <c r="U75" s="2">
        <v>1.7875000000000001</v>
      </c>
      <c r="V75" s="2">
        <v>1.77</v>
      </c>
      <c r="W75" s="2">
        <v>1.754</v>
      </c>
      <c r="X75" s="2">
        <v>1.7394000000000001</v>
      </c>
    </row>
    <row r="76" spans="4:24" x14ac:dyDescent="0.2">
      <c r="D76" s="1">
        <v>64</v>
      </c>
      <c r="E76" s="2">
        <v>3.9908999999999999</v>
      </c>
      <c r="F76" s="2">
        <v>3.1404000000000001</v>
      </c>
      <c r="G76" s="2">
        <v>2.7482000000000002</v>
      </c>
      <c r="H76" s="2">
        <v>2.5152999999999999</v>
      </c>
      <c r="I76" s="2">
        <v>2.3582999999999998</v>
      </c>
      <c r="J76" s="2">
        <v>2.2440000000000002</v>
      </c>
      <c r="K76" s="2">
        <v>2.1564000000000001</v>
      </c>
      <c r="L76" s="2">
        <v>2.0868000000000002</v>
      </c>
      <c r="M76" s="2">
        <v>2.0297999999999998</v>
      </c>
      <c r="N76" s="2">
        <v>1.9822</v>
      </c>
      <c r="O76" s="2">
        <v>1.9417</v>
      </c>
      <c r="P76" s="2">
        <v>1.9068000000000001</v>
      </c>
      <c r="Q76" s="2">
        <v>1.8763000000000001</v>
      </c>
      <c r="R76" s="2">
        <v>1.8494999999999999</v>
      </c>
      <c r="S76" s="2">
        <v>1.8255999999999999</v>
      </c>
      <c r="T76" s="2">
        <v>1.8042</v>
      </c>
      <c r="U76" s="2">
        <v>1.7848999999999999</v>
      </c>
      <c r="V76" s="2">
        <v>1.7673000000000001</v>
      </c>
      <c r="W76" s="2">
        <v>1.7514000000000001</v>
      </c>
      <c r="X76" s="2">
        <v>1.7367999999999999</v>
      </c>
    </row>
    <row r="77" spans="4:24" x14ac:dyDescent="0.2">
      <c r="D77" s="1">
        <v>65</v>
      </c>
      <c r="E77" s="2">
        <v>3.9885000000000002</v>
      </c>
      <c r="F77" s="2">
        <v>3.1381000000000001</v>
      </c>
      <c r="G77" s="2">
        <v>2.7458999999999998</v>
      </c>
      <c r="H77" s="2">
        <v>2.5129999999999999</v>
      </c>
      <c r="I77" s="2">
        <v>2.3559999999999999</v>
      </c>
      <c r="J77" s="2">
        <v>2.2416999999999998</v>
      </c>
      <c r="K77" s="2">
        <v>2.1541000000000001</v>
      </c>
      <c r="L77" s="2">
        <v>2.0844</v>
      </c>
      <c r="M77" s="2">
        <v>2.0274000000000001</v>
      </c>
      <c r="N77" s="2">
        <v>1.9798</v>
      </c>
      <c r="O77" s="2">
        <v>1.9393</v>
      </c>
      <c r="P77" s="2">
        <v>1.9044000000000001</v>
      </c>
      <c r="Q77" s="2">
        <v>1.8738999999999999</v>
      </c>
      <c r="R77" s="2">
        <v>1.847</v>
      </c>
      <c r="S77" s="2">
        <v>1.8230999999999999</v>
      </c>
      <c r="T77" s="2">
        <v>1.8017000000000001</v>
      </c>
      <c r="U77" s="2">
        <v>1.7823</v>
      </c>
      <c r="V77" s="2">
        <v>1.7647999999999999</v>
      </c>
      <c r="W77" s="2">
        <v>1.7487999999999999</v>
      </c>
      <c r="X77" s="2">
        <v>1.7342</v>
      </c>
    </row>
    <row r="78" spans="4:24" x14ac:dyDescent="0.2">
      <c r="D78" s="1">
        <v>66</v>
      </c>
      <c r="E78" s="2">
        <v>3.9862000000000002</v>
      </c>
      <c r="F78" s="2">
        <v>3.1358999999999999</v>
      </c>
      <c r="G78" s="2">
        <v>2.7437</v>
      </c>
      <c r="H78" s="2">
        <v>2.5108000000000001</v>
      </c>
      <c r="I78" s="2">
        <v>2.3538000000000001</v>
      </c>
      <c r="J78" s="2">
        <v>2.2395</v>
      </c>
      <c r="K78" s="2">
        <v>2.1518000000000002</v>
      </c>
      <c r="L78" s="2">
        <v>2.0821000000000001</v>
      </c>
      <c r="M78" s="2">
        <v>2.0251000000000001</v>
      </c>
      <c r="N78" s="2">
        <v>1.9775</v>
      </c>
      <c r="O78" s="2">
        <v>1.9370000000000001</v>
      </c>
      <c r="P78" s="2">
        <v>1.9019999999999999</v>
      </c>
      <c r="Q78" s="2">
        <v>1.8714999999999999</v>
      </c>
      <c r="R78" s="2">
        <v>1.8446</v>
      </c>
      <c r="S78" s="2">
        <v>1.8207</v>
      </c>
      <c r="T78" s="2">
        <v>1.7991999999999999</v>
      </c>
      <c r="U78" s="2">
        <v>1.7799</v>
      </c>
      <c r="V78" s="2">
        <v>1.7623</v>
      </c>
      <c r="W78" s="2">
        <v>1.7463</v>
      </c>
      <c r="X78" s="2">
        <v>1.7316</v>
      </c>
    </row>
    <row r="79" spans="4:24" x14ac:dyDescent="0.2">
      <c r="D79" s="1">
        <v>67</v>
      </c>
      <c r="E79" s="2">
        <v>3.9841000000000002</v>
      </c>
      <c r="F79" s="2">
        <v>3.1337999999999999</v>
      </c>
      <c r="G79" s="2">
        <v>2.7416</v>
      </c>
      <c r="H79" s="2">
        <v>2.5087000000000002</v>
      </c>
      <c r="I79" s="2">
        <v>2.3515999999999999</v>
      </c>
      <c r="J79" s="2">
        <v>2.2372999999999998</v>
      </c>
      <c r="K79" s="2">
        <v>2.1497000000000002</v>
      </c>
      <c r="L79" s="2">
        <v>2.0798999999999999</v>
      </c>
      <c r="M79" s="2">
        <v>2.0228999999999999</v>
      </c>
      <c r="N79" s="2">
        <v>1.9752000000000001</v>
      </c>
      <c r="O79" s="2">
        <v>1.9347000000000001</v>
      </c>
      <c r="P79" s="2">
        <v>1.8996999999999999</v>
      </c>
      <c r="Q79" s="2">
        <v>1.8692</v>
      </c>
      <c r="R79" s="2">
        <v>1.8423</v>
      </c>
      <c r="S79" s="2">
        <v>1.8183</v>
      </c>
      <c r="T79" s="2">
        <v>1.7968</v>
      </c>
      <c r="U79" s="2">
        <v>1.7775000000000001</v>
      </c>
      <c r="V79" s="2">
        <v>1.7599</v>
      </c>
      <c r="W79" s="2">
        <v>1.7439</v>
      </c>
      <c r="X79" s="2">
        <v>1.7292000000000001</v>
      </c>
    </row>
    <row r="80" spans="4:24" x14ac:dyDescent="0.2">
      <c r="D80" s="1">
        <v>68</v>
      </c>
      <c r="E80" s="2">
        <v>3.9819</v>
      </c>
      <c r="F80" s="2">
        <v>3.1316999999999999</v>
      </c>
      <c r="G80" s="2">
        <v>2.7395</v>
      </c>
      <c r="H80" s="2">
        <v>2.5066000000000002</v>
      </c>
      <c r="I80" s="2">
        <v>2.3496000000000001</v>
      </c>
      <c r="J80" s="2">
        <v>2.2351999999999999</v>
      </c>
      <c r="K80" s="2">
        <v>2.1475</v>
      </c>
      <c r="L80" s="2">
        <v>2.0777999999999999</v>
      </c>
      <c r="M80" s="2">
        <v>2.0207000000000002</v>
      </c>
      <c r="N80" s="2">
        <v>1.9730000000000001</v>
      </c>
      <c r="O80" s="2">
        <v>1.9325000000000001</v>
      </c>
      <c r="P80" s="2">
        <v>1.8975</v>
      </c>
      <c r="Q80" s="2">
        <v>1.867</v>
      </c>
      <c r="R80" s="2">
        <v>1.84</v>
      </c>
      <c r="S80" s="2">
        <v>1.8160000000000001</v>
      </c>
      <c r="T80" s="2">
        <v>1.7945</v>
      </c>
      <c r="U80" s="2">
        <v>1.7751999999999999</v>
      </c>
      <c r="V80" s="2">
        <v>1.7576000000000001</v>
      </c>
      <c r="W80" s="2">
        <v>1.7415</v>
      </c>
      <c r="X80" s="2">
        <v>1.7267999999999999</v>
      </c>
    </row>
    <row r="81" spans="4:24" x14ac:dyDescent="0.2">
      <c r="D81" s="1">
        <v>69</v>
      </c>
      <c r="E81" s="2">
        <v>3.9798</v>
      </c>
      <c r="F81" s="2">
        <v>3.1297000000000001</v>
      </c>
      <c r="G81" s="2">
        <v>2.7374999999999998</v>
      </c>
      <c r="H81" s="2">
        <v>2.5045999999999999</v>
      </c>
      <c r="I81" s="2">
        <v>2.3475000000000001</v>
      </c>
      <c r="J81" s="2">
        <v>2.2332000000000001</v>
      </c>
      <c r="K81" s="2">
        <v>2.1455000000000002</v>
      </c>
      <c r="L81" s="2">
        <v>2.0756999999999999</v>
      </c>
      <c r="M81" s="2">
        <v>2.0186000000000002</v>
      </c>
      <c r="N81" s="2">
        <v>1.9709000000000001</v>
      </c>
      <c r="O81" s="2">
        <v>1.9302999999999999</v>
      </c>
      <c r="P81" s="2">
        <v>1.8954</v>
      </c>
      <c r="Q81" s="2">
        <v>1.8648</v>
      </c>
      <c r="R81" s="2">
        <v>1.8378000000000001</v>
      </c>
      <c r="S81" s="2">
        <v>1.8138000000000001</v>
      </c>
      <c r="T81" s="2">
        <v>1.7923</v>
      </c>
      <c r="U81" s="2">
        <v>1.7728999999999999</v>
      </c>
      <c r="V81" s="2">
        <v>1.7553000000000001</v>
      </c>
      <c r="W81" s="2">
        <v>1.7393000000000001</v>
      </c>
      <c r="X81" s="2">
        <v>1.7245999999999999</v>
      </c>
    </row>
    <row r="82" spans="4:24" x14ac:dyDescent="0.2">
      <c r="D82" s="1">
        <v>70</v>
      </c>
      <c r="E82" s="2">
        <v>3.9777999999999998</v>
      </c>
      <c r="F82" s="2">
        <v>3.1276999999999999</v>
      </c>
      <c r="G82" s="2">
        <v>2.7355</v>
      </c>
      <c r="H82" s="2">
        <v>2.5026999999999999</v>
      </c>
      <c r="I82" s="2">
        <v>2.3456000000000001</v>
      </c>
      <c r="J82" s="2">
        <v>2.2311999999999999</v>
      </c>
      <c r="K82" s="2">
        <v>2.1435</v>
      </c>
      <c r="L82" s="2">
        <v>2.0737000000000001</v>
      </c>
      <c r="M82" s="2">
        <v>2.0165999999999999</v>
      </c>
      <c r="N82" s="2">
        <v>1.9689000000000001</v>
      </c>
      <c r="O82" s="2">
        <v>1.9282999999999999</v>
      </c>
      <c r="P82" s="2">
        <v>1.8932</v>
      </c>
      <c r="Q82" s="2">
        <v>1.8627</v>
      </c>
      <c r="R82" s="2">
        <v>1.8357000000000001</v>
      </c>
      <c r="S82" s="2">
        <v>1.8117000000000001</v>
      </c>
      <c r="T82" s="2">
        <v>1.7902</v>
      </c>
      <c r="U82" s="2">
        <v>1.7706999999999999</v>
      </c>
      <c r="V82" s="2">
        <v>1.7531000000000001</v>
      </c>
      <c r="W82" s="2">
        <v>1.7371000000000001</v>
      </c>
      <c r="X82" s="2">
        <v>1.7222999999999999</v>
      </c>
    </row>
    <row r="83" spans="4:24" x14ac:dyDescent="0.2">
      <c r="D83" s="1">
        <v>71</v>
      </c>
      <c r="E83" s="2">
        <v>3.9758</v>
      </c>
      <c r="F83" s="2">
        <v>3.1257999999999999</v>
      </c>
      <c r="G83" s="2">
        <v>2.7336</v>
      </c>
      <c r="H83" s="2">
        <v>2.5007000000000001</v>
      </c>
      <c r="I83" s="2">
        <v>2.3437000000000001</v>
      </c>
      <c r="J83" s="2">
        <v>2.2292999999999998</v>
      </c>
      <c r="K83" s="2">
        <v>2.1415000000000002</v>
      </c>
      <c r="L83" s="2">
        <v>2.0716999999999999</v>
      </c>
      <c r="M83" s="2">
        <v>2.0146000000000002</v>
      </c>
      <c r="N83" s="2">
        <v>1.9669000000000001</v>
      </c>
      <c r="O83" s="2">
        <v>1.9262999999999999</v>
      </c>
      <c r="P83" s="2">
        <v>1.8912</v>
      </c>
      <c r="Q83" s="2">
        <v>1.8606</v>
      </c>
      <c r="R83" s="2">
        <v>1.8335999999999999</v>
      </c>
      <c r="S83" s="2">
        <v>1.8096000000000001</v>
      </c>
      <c r="T83" s="2">
        <v>1.7881</v>
      </c>
      <c r="U83" s="2">
        <v>1.7685999999999999</v>
      </c>
      <c r="V83" s="2">
        <v>1.7509999999999999</v>
      </c>
      <c r="W83" s="2">
        <v>1.7349000000000001</v>
      </c>
      <c r="X83" s="2">
        <v>1.7202</v>
      </c>
    </row>
    <row r="84" spans="4:24" x14ac:dyDescent="0.2">
      <c r="D84" s="1">
        <v>72</v>
      </c>
      <c r="E84" s="2">
        <v>3.9739</v>
      </c>
      <c r="F84" s="2">
        <v>3.1238999999999999</v>
      </c>
      <c r="G84" s="2">
        <v>2.7317999999999998</v>
      </c>
      <c r="H84" s="2">
        <v>2.4988999999999999</v>
      </c>
      <c r="I84" s="2">
        <v>2.3418000000000001</v>
      </c>
      <c r="J84" s="2">
        <v>2.2273999999999998</v>
      </c>
      <c r="K84" s="2">
        <v>2.1396999999999999</v>
      </c>
      <c r="L84" s="2">
        <v>2.0697999999999999</v>
      </c>
      <c r="M84" s="2">
        <v>2.0127000000000002</v>
      </c>
      <c r="N84" s="2">
        <v>1.9649000000000001</v>
      </c>
      <c r="O84" s="2">
        <v>1.9242999999999999</v>
      </c>
      <c r="P84" s="2">
        <v>1.8892</v>
      </c>
      <c r="Q84" s="2">
        <v>1.8586</v>
      </c>
      <c r="R84" s="2">
        <v>1.8315999999999999</v>
      </c>
      <c r="S84" s="2">
        <v>1.8076000000000001</v>
      </c>
      <c r="T84" s="2">
        <v>1.786</v>
      </c>
      <c r="U84" s="2">
        <v>1.7665999999999999</v>
      </c>
      <c r="V84" s="2">
        <v>1.7488999999999999</v>
      </c>
      <c r="W84" s="2">
        <v>1.7327999999999999</v>
      </c>
      <c r="X84" s="2">
        <v>1.7181</v>
      </c>
    </row>
    <row r="85" spans="4:24" x14ac:dyDescent="0.2">
      <c r="D85" s="1">
        <v>73</v>
      </c>
      <c r="E85" s="2">
        <v>3.9721000000000002</v>
      </c>
      <c r="F85" s="2">
        <v>3.1221000000000001</v>
      </c>
      <c r="G85" s="2">
        <v>2.73</v>
      </c>
      <c r="H85" s="2">
        <v>2.4971000000000001</v>
      </c>
      <c r="I85" s="2">
        <v>2.34</v>
      </c>
      <c r="J85" s="2">
        <v>2.2256</v>
      </c>
      <c r="K85" s="2">
        <v>2.1377999999999999</v>
      </c>
      <c r="L85" s="2">
        <v>2.0680000000000001</v>
      </c>
      <c r="M85" s="2">
        <v>2.0108000000000001</v>
      </c>
      <c r="N85" s="2">
        <v>1.9631000000000001</v>
      </c>
      <c r="O85" s="2">
        <v>1.9224000000000001</v>
      </c>
      <c r="P85" s="2">
        <v>1.8873</v>
      </c>
      <c r="Q85" s="2">
        <v>1.8567</v>
      </c>
      <c r="R85" s="2">
        <v>1.8297000000000001</v>
      </c>
      <c r="S85" s="2">
        <v>1.8056000000000001</v>
      </c>
      <c r="T85" s="2">
        <v>1.784</v>
      </c>
      <c r="U85" s="2">
        <v>1.7645999999999999</v>
      </c>
      <c r="V85" s="2">
        <v>1.7468999999999999</v>
      </c>
      <c r="W85" s="2">
        <v>1.7307999999999999</v>
      </c>
      <c r="X85" s="2">
        <v>1.716</v>
      </c>
    </row>
    <row r="86" spans="4:24" x14ac:dyDescent="0.2">
      <c r="D86" s="1">
        <v>74</v>
      </c>
      <c r="E86" s="2">
        <v>3.9702999999999999</v>
      </c>
      <c r="F86" s="2">
        <v>3.1204000000000001</v>
      </c>
      <c r="G86" s="2">
        <v>2.7282999999999999</v>
      </c>
      <c r="H86" s="2">
        <v>2.4954000000000001</v>
      </c>
      <c r="I86" s="2">
        <v>2.3382999999999998</v>
      </c>
      <c r="J86" s="2">
        <v>2.2238000000000002</v>
      </c>
      <c r="K86" s="2">
        <v>2.1360999999999999</v>
      </c>
      <c r="L86" s="2">
        <v>2.0661999999999998</v>
      </c>
      <c r="M86" s="2">
        <v>2.0089999999999999</v>
      </c>
      <c r="N86" s="2">
        <v>1.9612000000000001</v>
      </c>
      <c r="O86" s="2">
        <v>1.9205000000000001</v>
      </c>
      <c r="P86" s="2">
        <v>1.8854</v>
      </c>
      <c r="Q86" s="2">
        <v>1.8548</v>
      </c>
      <c r="R86" s="2">
        <v>1.8278000000000001</v>
      </c>
      <c r="S86" s="2">
        <v>1.8037000000000001</v>
      </c>
      <c r="T86" s="2">
        <v>1.7821</v>
      </c>
      <c r="U86" s="2">
        <v>1.7625999999999999</v>
      </c>
      <c r="V86" s="2">
        <v>1.7448999999999999</v>
      </c>
      <c r="W86" s="2">
        <v>1.7287999999999999</v>
      </c>
      <c r="X86" s="2">
        <v>1.714</v>
      </c>
    </row>
    <row r="87" spans="4:24" x14ac:dyDescent="0.2">
      <c r="D87" s="1">
        <v>75</v>
      </c>
      <c r="E87" s="2">
        <v>3.9685000000000001</v>
      </c>
      <c r="F87" s="2">
        <v>3.1185999999999998</v>
      </c>
      <c r="G87" s="2">
        <v>2.7265999999999999</v>
      </c>
      <c r="H87" s="2">
        <v>2.4937</v>
      </c>
      <c r="I87" s="2">
        <v>2.3365999999999998</v>
      </c>
      <c r="J87" s="2">
        <v>2.2221000000000002</v>
      </c>
      <c r="K87" s="2">
        <v>2.1343000000000001</v>
      </c>
      <c r="L87" s="2">
        <v>2.0644999999999998</v>
      </c>
      <c r="M87" s="2">
        <v>2.0072999999999999</v>
      </c>
      <c r="N87" s="2">
        <v>1.9595</v>
      </c>
      <c r="O87" s="2">
        <v>1.9188000000000001</v>
      </c>
      <c r="P87" s="2">
        <v>1.8835999999999999</v>
      </c>
      <c r="Q87" s="2">
        <v>1.853</v>
      </c>
      <c r="R87" s="2">
        <v>1.8259000000000001</v>
      </c>
      <c r="S87" s="2">
        <v>1.8018000000000001</v>
      </c>
      <c r="T87" s="2">
        <v>1.7802</v>
      </c>
      <c r="U87" s="2">
        <v>1.7606999999999999</v>
      </c>
      <c r="V87" s="2">
        <v>1.7431000000000001</v>
      </c>
      <c r="W87" s="2">
        <v>1.7269000000000001</v>
      </c>
      <c r="X87" s="2">
        <v>1.7121</v>
      </c>
    </row>
    <row r="88" spans="4:24" x14ac:dyDescent="0.2">
      <c r="D88" s="1">
        <v>76</v>
      </c>
      <c r="E88" s="2">
        <v>3.9668000000000001</v>
      </c>
      <c r="F88" s="2">
        <v>3.117</v>
      </c>
      <c r="G88" s="2">
        <v>2.7248999999999999</v>
      </c>
      <c r="H88" s="2">
        <v>2.4921000000000002</v>
      </c>
      <c r="I88" s="2">
        <v>2.3349000000000002</v>
      </c>
      <c r="J88" s="2">
        <v>2.2204000000000002</v>
      </c>
      <c r="K88" s="2">
        <v>2.1326000000000001</v>
      </c>
      <c r="L88" s="2">
        <v>2.0627</v>
      </c>
      <c r="M88" s="2">
        <v>2.0055000000000001</v>
      </c>
      <c r="N88" s="2">
        <v>1.9577</v>
      </c>
      <c r="O88" s="2">
        <v>1.917</v>
      </c>
      <c r="P88" s="2">
        <v>1.8818999999999999</v>
      </c>
      <c r="Q88" s="2">
        <v>1.8512</v>
      </c>
      <c r="R88" s="2">
        <v>1.8241000000000001</v>
      </c>
      <c r="S88" s="2">
        <v>1.8</v>
      </c>
      <c r="T88" s="2">
        <v>1.7784</v>
      </c>
      <c r="U88" s="2">
        <v>1.7588999999999999</v>
      </c>
      <c r="V88" s="2">
        <v>1.7412000000000001</v>
      </c>
      <c r="W88" s="2">
        <v>1.7250000000000001</v>
      </c>
      <c r="X88" s="2">
        <v>1.7101999999999999</v>
      </c>
    </row>
    <row r="89" spans="4:24" x14ac:dyDescent="0.2">
      <c r="D89" s="1">
        <v>77</v>
      </c>
      <c r="E89" s="2">
        <v>3.9651000000000001</v>
      </c>
      <c r="F89" s="2">
        <v>3.1154000000000002</v>
      </c>
      <c r="G89" s="2">
        <v>2.7233000000000001</v>
      </c>
      <c r="H89" s="2">
        <v>2.4904000000000002</v>
      </c>
      <c r="I89" s="2">
        <v>2.3332999999999999</v>
      </c>
      <c r="J89" s="2">
        <v>2.2187999999999999</v>
      </c>
      <c r="K89" s="2">
        <v>2.1309999999999998</v>
      </c>
      <c r="L89" s="2">
        <v>2.0611000000000002</v>
      </c>
      <c r="M89" s="2">
        <v>2.0038999999999998</v>
      </c>
      <c r="N89" s="2">
        <v>1.956</v>
      </c>
      <c r="O89" s="2">
        <v>1.9153</v>
      </c>
      <c r="P89" s="2">
        <v>1.8801000000000001</v>
      </c>
      <c r="Q89" s="2">
        <v>1.8493999999999999</v>
      </c>
      <c r="R89" s="2">
        <v>1.8223</v>
      </c>
      <c r="S89" s="2">
        <v>1.7982</v>
      </c>
      <c r="T89" s="2">
        <v>1.7766</v>
      </c>
      <c r="U89" s="2">
        <v>1.7571000000000001</v>
      </c>
      <c r="V89" s="2">
        <v>1.7394000000000001</v>
      </c>
      <c r="W89" s="2">
        <v>1.7232000000000001</v>
      </c>
      <c r="X89" s="2">
        <v>1.7083999999999999</v>
      </c>
    </row>
    <row r="90" spans="4:24" x14ac:dyDescent="0.2">
      <c r="D90" s="1">
        <v>78</v>
      </c>
      <c r="E90" s="2">
        <v>3.9634999999999998</v>
      </c>
      <c r="F90" s="2">
        <v>3.1137999999999999</v>
      </c>
      <c r="G90" s="2">
        <v>2.7218</v>
      </c>
      <c r="H90" s="2">
        <v>2.4889000000000001</v>
      </c>
      <c r="I90" s="2">
        <v>2.3317999999999999</v>
      </c>
      <c r="J90" s="2">
        <v>2.2172000000000001</v>
      </c>
      <c r="K90" s="2">
        <v>2.1294</v>
      </c>
      <c r="L90" s="2">
        <v>2.0594999999999999</v>
      </c>
      <c r="M90" s="2">
        <v>2.0022000000000002</v>
      </c>
      <c r="N90" s="2">
        <v>1.9543999999999999</v>
      </c>
      <c r="O90" s="2">
        <v>1.9136</v>
      </c>
      <c r="P90" s="2">
        <v>1.8785000000000001</v>
      </c>
      <c r="Q90" s="2">
        <v>1.8478000000000001</v>
      </c>
      <c r="R90" s="2">
        <v>1.8206</v>
      </c>
      <c r="S90" s="2">
        <v>1.7965</v>
      </c>
      <c r="T90" s="2">
        <v>1.7748999999999999</v>
      </c>
      <c r="U90" s="2">
        <v>1.7554000000000001</v>
      </c>
      <c r="V90" s="2">
        <v>1.7376</v>
      </c>
      <c r="W90" s="2">
        <v>1.7214</v>
      </c>
      <c r="X90" s="2">
        <v>1.7065999999999999</v>
      </c>
    </row>
    <row r="91" spans="4:24" x14ac:dyDescent="0.2">
      <c r="D91" s="1">
        <v>79</v>
      </c>
      <c r="E91" s="2">
        <v>3.9619</v>
      </c>
      <c r="F91" s="2">
        <v>3.1122999999999998</v>
      </c>
      <c r="G91" s="2">
        <v>2.7202999999999999</v>
      </c>
      <c r="H91" s="2">
        <v>2.4874000000000001</v>
      </c>
      <c r="I91" s="2">
        <v>2.3302</v>
      </c>
      <c r="J91" s="2">
        <v>2.2157</v>
      </c>
      <c r="K91" s="2">
        <v>2.1278999999999999</v>
      </c>
      <c r="L91" s="2">
        <v>2.0579000000000001</v>
      </c>
      <c r="M91" s="2">
        <v>2.0005999999999999</v>
      </c>
      <c r="N91" s="2">
        <v>1.9528000000000001</v>
      </c>
      <c r="O91" s="2">
        <v>1.9119999999999999</v>
      </c>
      <c r="P91" s="2">
        <v>1.8769</v>
      </c>
      <c r="Q91" s="2">
        <v>1.8461000000000001</v>
      </c>
      <c r="R91" s="2">
        <v>1.819</v>
      </c>
      <c r="S91" s="2">
        <v>1.7948</v>
      </c>
      <c r="T91" s="2">
        <v>1.7732000000000001</v>
      </c>
      <c r="U91" s="2">
        <v>1.7537</v>
      </c>
      <c r="V91" s="2">
        <v>1.7359</v>
      </c>
      <c r="W91" s="2">
        <v>1.7197</v>
      </c>
      <c r="X91" s="2">
        <v>1.7048000000000001</v>
      </c>
    </row>
    <row r="92" spans="4:24" x14ac:dyDescent="0.2">
      <c r="D92" s="1">
        <v>80</v>
      </c>
      <c r="E92" s="2">
        <v>3.9603999999999999</v>
      </c>
      <c r="F92" s="2">
        <v>3.1107</v>
      </c>
      <c r="G92" s="2">
        <v>2.7187999999999999</v>
      </c>
      <c r="H92" s="2">
        <v>2.4859</v>
      </c>
      <c r="I92" s="2">
        <v>2.3287</v>
      </c>
      <c r="J92" s="2">
        <v>2.2141999999999999</v>
      </c>
      <c r="K92" s="2">
        <v>2.1263000000000001</v>
      </c>
      <c r="L92" s="2">
        <v>2.0564</v>
      </c>
      <c r="M92" s="2">
        <v>1.9991000000000001</v>
      </c>
      <c r="N92" s="2">
        <v>1.9512</v>
      </c>
      <c r="O92" s="2">
        <v>1.9105000000000001</v>
      </c>
      <c r="P92" s="2">
        <v>1.8753</v>
      </c>
      <c r="Q92" s="2">
        <v>1.8445</v>
      </c>
      <c r="R92" s="2">
        <v>1.8173999999999999</v>
      </c>
      <c r="S92" s="2">
        <v>1.7931999999999999</v>
      </c>
      <c r="T92" s="2">
        <v>1.7716000000000001</v>
      </c>
      <c r="U92" s="2">
        <v>1.752</v>
      </c>
      <c r="V92" s="2">
        <v>1.7342</v>
      </c>
      <c r="W92" s="2">
        <v>1.718</v>
      </c>
      <c r="X92" s="2">
        <v>1.7032</v>
      </c>
    </row>
    <row r="93" spans="4:24" x14ac:dyDescent="0.2">
      <c r="D93" s="1" t="s">
        <v>10</v>
      </c>
      <c r="E93" s="1">
        <v>1</v>
      </c>
      <c r="F93" s="1">
        <v>2</v>
      </c>
      <c r="G93" s="1">
        <v>3</v>
      </c>
      <c r="H93" s="1">
        <v>4</v>
      </c>
      <c r="I93" s="1">
        <v>5</v>
      </c>
      <c r="J93" s="1">
        <v>6</v>
      </c>
      <c r="K93" s="1">
        <v>7</v>
      </c>
      <c r="L93" s="1">
        <v>8</v>
      </c>
      <c r="M93" s="1">
        <v>9</v>
      </c>
      <c r="N93" s="1">
        <v>10</v>
      </c>
      <c r="O93" s="1">
        <v>11</v>
      </c>
      <c r="P93" s="1">
        <v>12</v>
      </c>
      <c r="Q93" s="1">
        <v>13</v>
      </c>
      <c r="R93" s="1">
        <v>14</v>
      </c>
      <c r="S93" s="1">
        <v>15</v>
      </c>
      <c r="T93" s="1">
        <v>16</v>
      </c>
      <c r="U93" s="1">
        <v>17</v>
      </c>
      <c r="V93" s="1">
        <v>18</v>
      </c>
      <c r="W93" s="1">
        <v>19</v>
      </c>
      <c r="X93" s="1">
        <v>20</v>
      </c>
    </row>
    <row r="94" spans="4:24" x14ac:dyDescent="0.2">
      <c r="D94" s="1" t="s">
        <v>11</v>
      </c>
      <c r="E94" s="1" t="s">
        <v>12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4:24" x14ac:dyDescent="0.2">
      <c r="D95" s="1">
        <v>81</v>
      </c>
      <c r="E95" s="2">
        <v>3.9588999999999999</v>
      </c>
      <c r="F95" s="2">
        <v>3.1093000000000002</v>
      </c>
      <c r="G95" s="2">
        <v>2.7172999999999998</v>
      </c>
      <c r="H95" s="2">
        <v>2.4845000000000002</v>
      </c>
      <c r="I95" s="2">
        <v>2.3273000000000001</v>
      </c>
      <c r="J95" s="2">
        <v>2.2126999999999999</v>
      </c>
      <c r="K95" s="2">
        <v>2.1248</v>
      </c>
      <c r="L95" s="2">
        <v>2.0548999999999999</v>
      </c>
      <c r="M95" s="2">
        <v>1.9976</v>
      </c>
      <c r="N95" s="2">
        <v>1.9497</v>
      </c>
      <c r="O95" s="2">
        <v>1.9089</v>
      </c>
      <c r="P95" s="2">
        <v>1.8736999999999999</v>
      </c>
      <c r="Q95" s="2">
        <v>1.8429</v>
      </c>
      <c r="R95" s="2">
        <v>1.8158000000000001</v>
      </c>
      <c r="S95" s="2">
        <v>1.7916000000000001</v>
      </c>
      <c r="T95" s="2">
        <v>1.77</v>
      </c>
      <c r="U95" s="2">
        <v>1.7504</v>
      </c>
      <c r="V95" s="2">
        <v>1.7325999999999999</v>
      </c>
      <c r="W95" s="2">
        <v>1.7163999999999999</v>
      </c>
      <c r="X95" s="2">
        <v>1.7015</v>
      </c>
    </row>
    <row r="96" spans="4:24" x14ac:dyDescent="0.2">
      <c r="D96" s="1">
        <v>82</v>
      </c>
      <c r="E96" s="2">
        <v>3.9573999999999998</v>
      </c>
      <c r="F96" s="2">
        <v>3.1078999999999999</v>
      </c>
      <c r="G96" s="2">
        <v>2.7160000000000002</v>
      </c>
      <c r="H96" s="2">
        <v>2.4830000000000001</v>
      </c>
      <c r="I96" s="2">
        <v>2.3258000000000001</v>
      </c>
      <c r="J96" s="2">
        <v>2.2113</v>
      </c>
      <c r="K96" s="2">
        <v>2.1234000000000002</v>
      </c>
      <c r="L96" s="2">
        <v>2.0533999999999999</v>
      </c>
      <c r="M96" s="2">
        <v>1.9962</v>
      </c>
      <c r="N96" s="2">
        <v>1.9481999999999999</v>
      </c>
      <c r="O96" s="2">
        <v>1.9074</v>
      </c>
      <c r="P96" s="2">
        <v>1.8722000000000001</v>
      </c>
      <c r="Q96" s="2">
        <v>1.8413999999999999</v>
      </c>
      <c r="R96" s="2">
        <v>1.8143</v>
      </c>
      <c r="S96" s="2">
        <v>1.7901</v>
      </c>
      <c r="T96" s="2">
        <v>1.7684</v>
      </c>
      <c r="U96" s="2">
        <v>1.7487999999999999</v>
      </c>
      <c r="V96" s="2">
        <v>1.7310000000000001</v>
      </c>
      <c r="W96" s="2">
        <v>1.7148000000000001</v>
      </c>
      <c r="X96" s="2">
        <v>1.6999</v>
      </c>
    </row>
    <row r="97" spans="4:24" x14ac:dyDescent="0.2">
      <c r="D97" s="1">
        <v>83</v>
      </c>
      <c r="E97" s="2">
        <v>3.956</v>
      </c>
      <c r="F97" s="2">
        <v>3.1065</v>
      </c>
      <c r="G97" s="2">
        <v>2.7145999999999999</v>
      </c>
      <c r="H97" s="2">
        <v>2.4817</v>
      </c>
      <c r="I97" s="2">
        <v>2.3245</v>
      </c>
      <c r="J97" s="2">
        <v>2.2099000000000002</v>
      </c>
      <c r="K97" s="2">
        <v>2.1219999999999999</v>
      </c>
      <c r="L97" s="2">
        <v>2.052</v>
      </c>
      <c r="M97" s="2">
        <v>1.9946999999999999</v>
      </c>
      <c r="N97" s="2">
        <v>1.9468000000000001</v>
      </c>
      <c r="O97" s="2">
        <v>1.9059999999999999</v>
      </c>
      <c r="P97" s="2">
        <v>1.8707</v>
      </c>
      <c r="Q97" s="2">
        <v>1.8399000000000001</v>
      </c>
      <c r="R97" s="2">
        <v>1.8127</v>
      </c>
      <c r="S97" s="2">
        <v>1.7886</v>
      </c>
      <c r="T97" s="2">
        <v>1.7668999999999999</v>
      </c>
      <c r="U97" s="2">
        <v>1.7473000000000001</v>
      </c>
      <c r="V97" s="2">
        <v>1.7295</v>
      </c>
      <c r="W97" s="2">
        <v>1.7132000000000001</v>
      </c>
      <c r="X97" s="2">
        <v>1.6982999999999999</v>
      </c>
    </row>
    <row r="98" spans="4:24" x14ac:dyDescent="0.2">
      <c r="D98" s="1">
        <v>84</v>
      </c>
      <c r="E98" s="2">
        <v>3.9546000000000001</v>
      </c>
      <c r="F98" s="2">
        <v>3.1051000000000002</v>
      </c>
      <c r="G98" s="2">
        <v>2.7132000000000001</v>
      </c>
      <c r="H98" s="2">
        <v>2.4803000000000002</v>
      </c>
      <c r="I98" s="2">
        <v>2.3231000000000002</v>
      </c>
      <c r="J98" s="2">
        <v>2.2086000000000001</v>
      </c>
      <c r="K98" s="2">
        <v>2.1206</v>
      </c>
      <c r="L98" s="2">
        <v>2.0506000000000002</v>
      </c>
      <c r="M98" s="2">
        <v>1.9933000000000001</v>
      </c>
      <c r="N98" s="2">
        <v>1.9454</v>
      </c>
      <c r="O98" s="2">
        <v>1.9045000000000001</v>
      </c>
      <c r="P98" s="2">
        <v>1.8693</v>
      </c>
      <c r="Q98" s="2">
        <v>1.8385</v>
      </c>
      <c r="R98" s="2">
        <v>1.8112999999999999</v>
      </c>
      <c r="S98" s="2">
        <v>1.7870999999999999</v>
      </c>
      <c r="T98" s="2">
        <v>1.7654000000000001</v>
      </c>
      <c r="U98" s="2">
        <v>1.7458</v>
      </c>
      <c r="V98" s="2">
        <v>1.728</v>
      </c>
      <c r="W98" s="2">
        <v>1.7117</v>
      </c>
      <c r="X98" s="2">
        <v>1.6968000000000001</v>
      </c>
    </row>
    <row r="99" spans="4:24" x14ac:dyDescent="0.2">
      <c r="D99" s="1">
        <v>85</v>
      </c>
      <c r="E99" s="2">
        <v>3.9531999999999998</v>
      </c>
      <c r="F99" s="2">
        <v>3.1038999999999999</v>
      </c>
      <c r="G99" s="2">
        <v>2.7119</v>
      </c>
      <c r="H99" s="2">
        <v>2.4790000000000001</v>
      </c>
      <c r="I99" s="2">
        <v>2.3218000000000001</v>
      </c>
      <c r="J99" s="2">
        <v>2.2071999999999998</v>
      </c>
      <c r="K99" s="2">
        <v>2.1193</v>
      </c>
      <c r="L99" s="2">
        <v>2.0493000000000001</v>
      </c>
      <c r="M99" s="2">
        <v>1.9919</v>
      </c>
      <c r="N99" s="2">
        <v>1.944</v>
      </c>
      <c r="O99" s="2">
        <v>1.9031</v>
      </c>
      <c r="P99" s="2">
        <v>1.8678999999999999</v>
      </c>
      <c r="Q99" s="2">
        <v>1.8371</v>
      </c>
      <c r="R99" s="2">
        <v>1.8099000000000001</v>
      </c>
      <c r="S99" s="2">
        <v>1.7856000000000001</v>
      </c>
      <c r="T99" s="2">
        <v>1.7639</v>
      </c>
      <c r="U99" s="2">
        <v>1.7443</v>
      </c>
      <c r="V99" s="2">
        <v>1.7264999999999999</v>
      </c>
      <c r="W99" s="2">
        <v>1.7101999999999999</v>
      </c>
      <c r="X99" s="2">
        <v>1.6953</v>
      </c>
    </row>
    <row r="100" spans="4:24" x14ac:dyDescent="0.2">
      <c r="D100" s="1">
        <v>86</v>
      </c>
      <c r="E100" s="2">
        <v>3.9519000000000002</v>
      </c>
      <c r="F100" s="2">
        <v>3.1025999999999998</v>
      </c>
      <c r="G100" s="2">
        <v>2.7105999999999999</v>
      </c>
      <c r="H100" s="2">
        <v>2.4777</v>
      </c>
      <c r="I100" s="2">
        <v>2.3205</v>
      </c>
      <c r="J100" s="2">
        <v>2.2059000000000002</v>
      </c>
      <c r="K100" s="2">
        <v>2.1179999999999999</v>
      </c>
      <c r="L100" s="2">
        <v>2.048</v>
      </c>
      <c r="M100" s="2">
        <v>1.9905999999999999</v>
      </c>
      <c r="N100" s="2">
        <v>1.9426000000000001</v>
      </c>
      <c r="O100" s="2">
        <v>1.9017999999999999</v>
      </c>
      <c r="P100" s="2">
        <v>1.8665</v>
      </c>
      <c r="Q100" s="2">
        <v>1.8357000000000001</v>
      </c>
      <c r="R100" s="2">
        <v>1.8085</v>
      </c>
      <c r="S100" s="2">
        <v>1.7842</v>
      </c>
      <c r="T100" s="2">
        <v>1.7625</v>
      </c>
      <c r="U100" s="2">
        <v>1.7428999999999999</v>
      </c>
      <c r="V100" s="2">
        <v>1.7250000000000001</v>
      </c>
      <c r="W100" s="2">
        <v>1.7088000000000001</v>
      </c>
      <c r="X100" s="2">
        <v>1.6938</v>
      </c>
    </row>
    <row r="101" spans="4:24" x14ac:dyDescent="0.2">
      <c r="D101" s="1">
        <v>87</v>
      </c>
      <c r="E101" s="2">
        <v>3.9506000000000001</v>
      </c>
      <c r="F101" s="2">
        <v>3.1013000000000002</v>
      </c>
      <c r="G101" s="2">
        <v>2.7094</v>
      </c>
      <c r="H101" s="2">
        <v>2.4765000000000001</v>
      </c>
      <c r="I101" s="2">
        <v>2.3193000000000001</v>
      </c>
      <c r="J101" s="2">
        <v>2.2046999999999999</v>
      </c>
      <c r="K101" s="2">
        <v>2.1166999999999998</v>
      </c>
      <c r="L101" s="2">
        <v>2.0467</v>
      </c>
      <c r="M101" s="2">
        <v>1.9893000000000001</v>
      </c>
      <c r="N101" s="2">
        <v>1.9413</v>
      </c>
      <c r="O101" s="2">
        <v>1.9005000000000001</v>
      </c>
      <c r="P101" s="2">
        <v>1.8652</v>
      </c>
      <c r="Q101" s="2">
        <v>1.8343</v>
      </c>
      <c r="R101" s="2">
        <v>1.8070999999999999</v>
      </c>
      <c r="S101" s="2">
        <v>1.7828999999999999</v>
      </c>
      <c r="T101" s="2">
        <v>1.7611000000000001</v>
      </c>
      <c r="U101" s="2">
        <v>1.7415</v>
      </c>
      <c r="V101" s="2">
        <v>1.7236</v>
      </c>
      <c r="W101" s="2">
        <v>1.7073</v>
      </c>
      <c r="X101" s="2">
        <v>1.6923999999999999</v>
      </c>
    </row>
    <row r="102" spans="4:24" x14ac:dyDescent="0.2">
      <c r="D102" s="1">
        <v>88</v>
      </c>
      <c r="E102" s="2">
        <v>3.9493</v>
      </c>
      <c r="F102" s="2">
        <v>3.1000999999999999</v>
      </c>
      <c r="G102" s="2">
        <v>2.7082000000000002</v>
      </c>
      <c r="H102" s="2">
        <v>2.4752999999999998</v>
      </c>
      <c r="I102" s="2">
        <v>2.3180000000000001</v>
      </c>
      <c r="J102" s="2">
        <v>2.2033999999999998</v>
      </c>
      <c r="K102" s="2">
        <v>2.1154999999999999</v>
      </c>
      <c r="L102" s="2">
        <v>2.0453999999999999</v>
      </c>
      <c r="M102" s="2">
        <v>1.9881</v>
      </c>
      <c r="N102" s="2">
        <v>1.94</v>
      </c>
      <c r="O102" s="2">
        <v>1.8992</v>
      </c>
      <c r="P102" s="2">
        <v>1.8638999999999999</v>
      </c>
      <c r="Q102" s="2">
        <v>1.833</v>
      </c>
      <c r="R102" s="2">
        <v>1.8058000000000001</v>
      </c>
      <c r="S102" s="2">
        <v>1.7815000000000001</v>
      </c>
      <c r="T102" s="2">
        <v>1.7598</v>
      </c>
      <c r="U102" s="2">
        <v>1.7401</v>
      </c>
      <c r="V102" s="2">
        <v>1.7222999999999999</v>
      </c>
      <c r="W102" s="2">
        <v>1.706</v>
      </c>
      <c r="X102" s="2">
        <v>1.6910000000000001</v>
      </c>
    </row>
    <row r="103" spans="4:24" x14ac:dyDescent="0.2">
      <c r="D103" s="1">
        <v>89</v>
      </c>
      <c r="E103" s="2">
        <v>3.9481000000000002</v>
      </c>
      <c r="F103" s="2">
        <v>3.0988000000000002</v>
      </c>
      <c r="G103" s="2">
        <v>2.7069999999999999</v>
      </c>
      <c r="H103" s="2">
        <v>2.4741</v>
      </c>
      <c r="I103" s="2">
        <v>2.3169</v>
      </c>
      <c r="J103" s="2">
        <v>2.2021999999999999</v>
      </c>
      <c r="K103" s="2">
        <v>2.1143000000000001</v>
      </c>
      <c r="L103" s="2">
        <v>2.0442</v>
      </c>
      <c r="M103" s="2">
        <v>1.9867999999999999</v>
      </c>
      <c r="N103" s="2">
        <v>1.9388000000000001</v>
      </c>
      <c r="O103" s="2">
        <v>1.8978999999999999</v>
      </c>
      <c r="P103" s="2">
        <v>1.8626</v>
      </c>
      <c r="Q103" s="2">
        <v>1.8317000000000001</v>
      </c>
      <c r="R103" s="2">
        <v>1.8045</v>
      </c>
      <c r="S103" s="2">
        <v>1.7802</v>
      </c>
      <c r="T103" s="2">
        <v>1.7584</v>
      </c>
      <c r="U103" s="2">
        <v>1.7387999999999999</v>
      </c>
      <c r="V103" s="2">
        <v>1.7209000000000001</v>
      </c>
      <c r="W103" s="2">
        <v>1.7045999999999999</v>
      </c>
      <c r="X103" s="2">
        <v>1.6896</v>
      </c>
    </row>
    <row r="104" spans="4:24" x14ac:dyDescent="0.2">
      <c r="D104" s="1">
        <v>90</v>
      </c>
      <c r="E104" s="2">
        <v>3.9468999999999999</v>
      </c>
      <c r="F104" s="2">
        <v>3.0977000000000001</v>
      </c>
      <c r="G104" s="2">
        <v>2.7058</v>
      </c>
      <c r="H104" s="2">
        <v>2.4729000000000001</v>
      </c>
      <c r="I104" s="2">
        <v>2.3157000000000001</v>
      </c>
      <c r="J104" s="2">
        <v>2.2010999999999998</v>
      </c>
      <c r="K104" s="2">
        <v>2.1131000000000002</v>
      </c>
      <c r="L104" s="2">
        <v>2.0430000000000001</v>
      </c>
      <c r="M104" s="2">
        <v>1.9856</v>
      </c>
      <c r="N104" s="2">
        <v>1.9376</v>
      </c>
      <c r="O104" s="2">
        <v>1.8967000000000001</v>
      </c>
      <c r="P104" s="2">
        <v>1.8613</v>
      </c>
      <c r="Q104" s="2">
        <v>1.8305</v>
      </c>
      <c r="R104" s="2">
        <v>1.8031999999999999</v>
      </c>
      <c r="S104" s="2">
        <v>1.7788999999999999</v>
      </c>
      <c r="T104" s="2">
        <v>1.7571000000000001</v>
      </c>
      <c r="U104" s="2">
        <v>1.7375</v>
      </c>
      <c r="V104" s="2">
        <v>1.7196</v>
      </c>
      <c r="W104" s="2">
        <v>1.7033</v>
      </c>
      <c r="X104" s="2">
        <v>1.6882999999999999</v>
      </c>
    </row>
    <row r="105" spans="4:24" x14ac:dyDescent="0.2">
      <c r="D105" s="1">
        <v>91</v>
      </c>
      <c r="E105" s="2">
        <v>3.9457</v>
      </c>
      <c r="F105" s="2">
        <v>3.0964999999999998</v>
      </c>
      <c r="G105" s="2">
        <v>2.7046999999999999</v>
      </c>
      <c r="H105" s="2">
        <v>2.4718</v>
      </c>
      <c r="I105" s="2">
        <v>2.3146</v>
      </c>
      <c r="J105" s="2">
        <v>2.1999</v>
      </c>
      <c r="K105" s="2">
        <v>2.1118999999999999</v>
      </c>
      <c r="L105" s="2">
        <v>2.0417999999999998</v>
      </c>
      <c r="M105" s="2">
        <v>1.9843999999999999</v>
      </c>
      <c r="N105" s="2">
        <v>1.9363999999999999</v>
      </c>
      <c r="O105" s="2">
        <v>1.8955</v>
      </c>
      <c r="P105" s="2">
        <v>1.8601000000000001</v>
      </c>
      <c r="Q105" s="2">
        <v>1.8291999999999999</v>
      </c>
      <c r="R105" s="2">
        <v>1.802</v>
      </c>
      <c r="S105" s="2">
        <v>1.7777000000000001</v>
      </c>
      <c r="T105" s="2">
        <v>1.7559</v>
      </c>
      <c r="U105" s="2">
        <v>1.7362</v>
      </c>
      <c r="V105" s="2">
        <v>1.7182999999999999</v>
      </c>
      <c r="W105" s="2">
        <v>1.702</v>
      </c>
      <c r="X105" s="2">
        <v>1.6870000000000001</v>
      </c>
    </row>
    <row r="106" spans="4:24" x14ac:dyDescent="0.2">
      <c r="D106" s="1">
        <v>92</v>
      </c>
      <c r="E106" s="2">
        <v>3.9445999999999999</v>
      </c>
      <c r="F106" s="2">
        <v>3.0954999999999999</v>
      </c>
      <c r="G106" s="2">
        <v>2.7035999999999998</v>
      </c>
      <c r="H106" s="2">
        <v>2.4706999999999999</v>
      </c>
      <c r="I106" s="2">
        <v>2.3134000000000001</v>
      </c>
      <c r="J106" s="2">
        <v>2.1987999999999999</v>
      </c>
      <c r="K106" s="2">
        <v>2.1107999999999998</v>
      </c>
      <c r="L106" s="2">
        <v>2.0407000000000002</v>
      </c>
      <c r="M106" s="2">
        <v>1.9833000000000001</v>
      </c>
      <c r="N106" s="2">
        <v>1.9352</v>
      </c>
      <c r="O106" s="2">
        <v>1.8943000000000001</v>
      </c>
      <c r="P106" s="2">
        <v>1.8589</v>
      </c>
      <c r="Q106" s="2">
        <v>1.8280000000000001</v>
      </c>
      <c r="R106" s="2">
        <v>1.8008</v>
      </c>
      <c r="S106" s="2">
        <v>1.7764</v>
      </c>
      <c r="T106" s="2">
        <v>1.7545999999999999</v>
      </c>
      <c r="U106" s="2">
        <v>1.7350000000000001</v>
      </c>
      <c r="V106" s="2">
        <v>1.7170000000000001</v>
      </c>
      <c r="W106" s="2">
        <v>1.7007000000000001</v>
      </c>
      <c r="X106" s="2">
        <v>1.6857</v>
      </c>
    </row>
    <row r="107" spans="4:24" x14ac:dyDescent="0.2">
      <c r="D107" s="1">
        <v>93</v>
      </c>
      <c r="E107" s="2">
        <v>3.9434999999999998</v>
      </c>
      <c r="F107" s="2">
        <v>3.0943999999999998</v>
      </c>
      <c r="G107" s="2">
        <v>2.7025000000000001</v>
      </c>
      <c r="H107" s="2">
        <v>2.4695999999999998</v>
      </c>
      <c r="I107" s="2">
        <v>2.3123</v>
      </c>
      <c r="J107" s="2">
        <v>2.1977000000000002</v>
      </c>
      <c r="K107" s="2">
        <v>2.1097000000000001</v>
      </c>
      <c r="L107" s="2">
        <v>2.0394999999999999</v>
      </c>
      <c r="M107" s="2">
        <v>1.9821</v>
      </c>
      <c r="N107" s="2">
        <v>1.9339999999999999</v>
      </c>
      <c r="O107" s="2">
        <v>1.8931</v>
      </c>
      <c r="P107" s="2">
        <v>1.8577999999999999</v>
      </c>
      <c r="Q107" s="2">
        <v>1.8269</v>
      </c>
      <c r="R107" s="2">
        <v>1.7996000000000001</v>
      </c>
      <c r="S107" s="2">
        <v>1.7753000000000001</v>
      </c>
      <c r="T107" s="2">
        <v>1.7534000000000001</v>
      </c>
      <c r="U107" s="2">
        <v>1.7337</v>
      </c>
      <c r="V107" s="2">
        <v>1.7158</v>
      </c>
      <c r="W107" s="2">
        <v>1.6995</v>
      </c>
      <c r="X107" s="2">
        <v>1.6845000000000001</v>
      </c>
    </row>
    <row r="108" spans="4:24" x14ac:dyDescent="0.2">
      <c r="D108" s="1">
        <v>94</v>
      </c>
      <c r="E108" s="2">
        <v>3.9422999999999999</v>
      </c>
      <c r="F108" s="2">
        <v>3.0933000000000002</v>
      </c>
      <c r="G108" s="2">
        <v>2.7014</v>
      </c>
      <c r="H108" s="2">
        <v>2.4685000000000001</v>
      </c>
      <c r="I108" s="2">
        <v>2.3113000000000001</v>
      </c>
      <c r="J108" s="2">
        <v>2.1966000000000001</v>
      </c>
      <c r="K108" s="2">
        <v>2.1086</v>
      </c>
      <c r="L108" s="2">
        <v>2.0385</v>
      </c>
      <c r="M108" s="2">
        <v>1.9810000000000001</v>
      </c>
      <c r="N108" s="2">
        <v>1.9329000000000001</v>
      </c>
      <c r="O108" s="2">
        <v>1.8919999999999999</v>
      </c>
      <c r="P108" s="2">
        <v>1.8566</v>
      </c>
      <c r="Q108" s="2">
        <v>1.8257000000000001</v>
      </c>
      <c r="R108" s="2">
        <v>1.7984</v>
      </c>
      <c r="S108" s="2">
        <v>1.7741</v>
      </c>
      <c r="T108" s="2">
        <v>1.7522</v>
      </c>
      <c r="U108" s="2">
        <v>1.7324999999999999</v>
      </c>
      <c r="V108" s="2">
        <v>1.7145999999999999</v>
      </c>
      <c r="W108" s="2">
        <v>1.6981999999999999</v>
      </c>
      <c r="X108" s="2">
        <v>1.6832</v>
      </c>
    </row>
    <row r="109" spans="4:24" x14ac:dyDescent="0.2">
      <c r="D109" s="1">
        <v>95</v>
      </c>
      <c r="E109" s="2">
        <v>3.9411999999999998</v>
      </c>
      <c r="F109" s="2">
        <v>3.0922000000000001</v>
      </c>
      <c r="G109" s="2">
        <v>2.7004000000000001</v>
      </c>
      <c r="H109" s="2">
        <v>2.4674999999999998</v>
      </c>
      <c r="I109" s="2">
        <v>2.3102</v>
      </c>
      <c r="J109" s="2">
        <v>2.1955</v>
      </c>
      <c r="K109" s="2">
        <v>2.1074999999999999</v>
      </c>
      <c r="L109" s="2">
        <v>2.0373999999999999</v>
      </c>
      <c r="M109" s="2">
        <v>1.9799</v>
      </c>
      <c r="N109" s="2">
        <v>1.9318</v>
      </c>
      <c r="O109" s="2">
        <v>1.8909</v>
      </c>
      <c r="P109" s="2">
        <v>1.8554999999999999</v>
      </c>
      <c r="Q109" s="2">
        <v>1.8246</v>
      </c>
      <c r="R109" s="2">
        <v>1.7972999999999999</v>
      </c>
      <c r="S109" s="2">
        <v>1.7728999999999999</v>
      </c>
      <c r="T109" s="2">
        <v>1.7511000000000001</v>
      </c>
      <c r="U109" s="2">
        <v>1.7314000000000001</v>
      </c>
      <c r="V109" s="2">
        <v>1.7134</v>
      </c>
      <c r="W109" s="2">
        <v>1.6971000000000001</v>
      </c>
      <c r="X109" s="2">
        <v>1.6819999999999999</v>
      </c>
    </row>
    <row r="110" spans="4:24" x14ac:dyDescent="0.2">
      <c r="D110" s="1">
        <v>96</v>
      </c>
      <c r="E110" s="2">
        <v>3.9401999999999999</v>
      </c>
      <c r="F110" s="2">
        <v>3.0912000000000002</v>
      </c>
      <c r="G110" s="2">
        <v>2.6993999999999998</v>
      </c>
      <c r="H110" s="2">
        <v>2.4664999999999999</v>
      </c>
      <c r="I110" s="2">
        <v>2.3092000000000001</v>
      </c>
      <c r="J110" s="2">
        <v>2.1945000000000001</v>
      </c>
      <c r="K110" s="2">
        <v>2.1065</v>
      </c>
      <c r="L110" s="2">
        <v>2.0363000000000002</v>
      </c>
      <c r="M110" s="2">
        <v>1.9789000000000001</v>
      </c>
      <c r="N110" s="2">
        <v>1.9308000000000001</v>
      </c>
      <c r="O110" s="2">
        <v>1.8897999999999999</v>
      </c>
      <c r="P110" s="2">
        <v>1.8544</v>
      </c>
      <c r="Q110" s="2">
        <v>1.8234999999999999</v>
      </c>
      <c r="R110" s="2">
        <v>1.7961</v>
      </c>
      <c r="S110" s="2">
        <v>1.7718</v>
      </c>
      <c r="T110" s="2">
        <v>1.75</v>
      </c>
      <c r="U110" s="2">
        <v>1.7302</v>
      </c>
      <c r="V110" s="2">
        <v>1.7122999999999999</v>
      </c>
      <c r="W110" s="2">
        <v>1.6959</v>
      </c>
      <c r="X110" s="2">
        <v>1.6809000000000001</v>
      </c>
    </row>
    <row r="111" spans="4:24" x14ac:dyDescent="0.2">
      <c r="D111" s="1">
        <v>97</v>
      </c>
      <c r="E111" s="2">
        <v>3.9392</v>
      </c>
      <c r="F111" s="2">
        <v>3.0901999999999998</v>
      </c>
      <c r="G111" s="2">
        <v>2.6983999999999999</v>
      </c>
      <c r="H111" s="2">
        <v>2.4655</v>
      </c>
      <c r="I111" s="2">
        <v>2.3081999999999998</v>
      </c>
      <c r="J111" s="2">
        <v>2.1934999999999998</v>
      </c>
      <c r="K111" s="2">
        <v>2.1053999999999999</v>
      </c>
      <c r="L111" s="2">
        <v>2.0352999999999999</v>
      </c>
      <c r="M111" s="2">
        <v>1.9778</v>
      </c>
      <c r="N111" s="2">
        <v>1.9297</v>
      </c>
      <c r="O111" s="2">
        <v>1.8888</v>
      </c>
      <c r="P111" s="2">
        <v>1.8532999999999999</v>
      </c>
      <c r="Q111" s="2">
        <v>1.8224</v>
      </c>
      <c r="R111" s="2">
        <v>1.7950999999999999</v>
      </c>
      <c r="S111" s="2">
        <v>1.7706999999999999</v>
      </c>
      <c r="T111" s="2">
        <v>1.7487999999999999</v>
      </c>
      <c r="U111" s="2">
        <v>1.7291000000000001</v>
      </c>
      <c r="V111" s="2">
        <v>1.7112000000000001</v>
      </c>
      <c r="W111" s="2">
        <v>1.6948000000000001</v>
      </c>
      <c r="X111" s="2">
        <v>1.6797</v>
      </c>
    </row>
    <row r="112" spans="4:24" x14ac:dyDescent="0.2">
      <c r="D112" s="1">
        <v>98</v>
      </c>
      <c r="E112" s="2">
        <v>3.9380999999999999</v>
      </c>
      <c r="F112" s="2">
        <v>3.0891999999999999</v>
      </c>
      <c r="G112" s="2">
        <v>2.6974</v>
      </c>
      <c r="H112" s="2">
        <v>2.4645000000000001</v>
      </c>
      <c r="I112" s="2">
        <v>2.3071999999999999</v>
      </c>
      <c r="J112" s="2">
        <v>2.1924999999999999</v>
      </c>
      <c r="K112" s="2">
        <v>2.1044</v>
      </c>
      <c r="L112" s="2">
        <v>2.0343</v>
      </c>
      <c r="M112" s="2">
        <v>1.9767999999999999</v>
      </c>
      <c r="N112" s="2">
        <v>1.9287000000000001</v>
      </c>
      <c r="O112" s="2">
        <v>1.8876999999999999</v>
      </c>
      <c r="P112" s="2">
        <v>1.8523000000000001</v>
      </c>
      <c r="Q112" s="2">
        <v>1.8212999999999999</v>
      </c>
      <c r="R112" s="2">
        <v>1.794</v>
      </c>
      <c r="S112" s="2">
        <v>1.7696000000000001</v>
      </c>
      <c r="T112" s="2">
        <v>1.7478</v>
      </c>
      <c r="U112" s="2">
        <v>1.728</v>
      </c>
      <c r="V112" s="2">
        <v>1.71</v>
      </c>
      <c r="W112" s="2">
        <v>1.6936</v>
      </c>
      <c r="X112" s="2">
        <v>1.6786000000000001</v>
      </c>
    </row>
    <row r="113" spans="4:24" x14ac:dyDescent="0.2">
      <c r="D113" s="1">
        <v>99</v>
      </c>
      <c r="E113" s="2">
        <v>3.9371</v>
      </c>
      <c r="F113" s="2">
        <v>3.0882000000000001</v>
      </c>
      <c r="G113" s="2">
        <v>2.6964999999999999</v>
      </c>
      <c r="H113" s="2">
        <v>2.4636</v>
      </c>
      <c r="I113" s="2">
        <v>2.3062</v>
      </c>
      <c r="J113" s="2">
        <v>2.1916000000000002</v>
      </c>
      <c r="K113" s="2">
        <v>2.1034999999999999</v>
      </c>
      <c r="L113" s="2">
        <v>2.0333000000000001</v>
      </c>
      <c r="M113" s="2">
        <v>1.9758</v>
      </c>
      <c r="N113" s="2">
        <v>1.9277</v>
      </c>
      <c r="O113" s="2">
        <v>1.8867</v>
      </c>
      <c r="P113" s="2">
        <v>1.8512999999999999</v>
      </c>
      <c r="Q113" s="2">
        <v>1.8203</v>
      </c>
      <c r="R113" s="2">
        <v>1.7928999999999999</v>
      </c>
      <c r="S113" s="2">
        <v>1.7685999999999999</v>
      </c>
      <c r="T113" s="2">
        <v>1.7466999999999999</v>
      </c>
      <c r="U113" s="2">
        <v>1.7269000000000001</v>
      </c>
      <c r="V113" s="2">
        <v>1.7090000000000001</v>
      </c>
      <c r="W113" s="2">
        <v>1.6926000000000001</v>
      </c>
      <c r="X113" s="2">
        <v>1.6775</v>
      </c>
    </row>
    <row r="114" spans="4:24" x14ac:dyDescent="0.2">
      <c r="D114" s="1">
        <v>100</v>
      </c>
      <c r="E114" s="2">
        <v>3.9361000000000002</v>
      </c>
      <c r="F114" s="2">
        <v>3.0872999999999999</v>
      </c>
      <c r="G114" s="2">
        <v>2.6955</v>
      </c>
      <c r="H114" s="2">
        <v>2.4626000000000001</v>
      </c>
      <c r="I114" s="2">
        <v>2.3052999999999999</v>
      </c>
      <c r="J114" s="2">
        <v>2.1905999999999999</v>
      </c>
      <c r="K114" s="2">
        <v>2.1025</v>
      </c>
      <c r="L114" s="2">
        <v>2.0323000000000002</v>
      </c>
      <c r="M114" s="2">
        <v>1.9748000000000001</v>
      </c>
      <c r="N114" s="2">
        <v>1.9267000000000001</v>
      </c>
      <c r="O114" s="2">
        <v>1.8856999999999999</v>
      </c>
      <c r="P114" s="2">
        <v>1.8502000000000001</v>
      </c>
      <c r="Q114" s="2">
        <v>1.8192999999999999</v>
      </c>
      <c r="R114" s="2">
        <v>1.7919</v>
      </c>
      <c r="S114" s="2">
        <v>1.7675000000000001</v>
      </c>
      <c r="T114" s="2">
        <v>1.7456</v>
      </c>
      <c r="U114" s="2">
        <v>1.7259</v>
      </c>
      <c r="V114" s="2">
        <v>1.7079</v>
      </c>
      <c r="W114" s="2">
        <v>1.6915</v>
      </c>
      <c r="X114" s="2">
        <v>1.6763999999999999</v>
      </c>
    </row>
    <row r="115" spans="4:24" x14ac:dyDescent="0.2">
      <c r="D115" s="1" t="s">
        <v>10</v>
      </c>
      <c r="E115" s="1">
        <v>1</v>
      </c>
      <c r="F115" s="1">
        <v>2</v>
      </c>
      <c r="G115" s="1">
        <v>3</v>
      </c>
      <c r="H115" s="1">
        <v>4</v>
      </c>
      <c r="I115" s="1">
        <v>5</v>
      </c>
      <c r="J115" s="1">
        <v>6</v>
      </c>
      <c r="K115" s="1">
        <v>7</v>
      </c>
      <c r="L115" s="1">
        <v>8</v>
      </c>
      <c r="M115" s="1">
        <v>9</v>
      </c>
      <c r="N115" s="1">
        <v>10</v>
      </c>
      <c r="O115" s="1">
        <v>11</v>
      </c>
      <c r="P115" s="1">
        <v>12</v>
      </c>
      <c r="Q115" s="1">
        <v>13</v>
      </c>
      <c r="R115" s="1">
        <v>14</v>
      </c>
      <c r="S115" s="1">
        <v>15</v>
      </c>
      <c r="T115" s="1">
        <v>16</v>
      </c>
      <c r="U115" s="1">
        <v>17</v>
      </c>
      <c r="V115" s="1">
        <v>18</v>
      </c>
      <c r="W115" s="1">
        <v>19</v>
      </c>
      <c r="X115" s="1">
        <v>20</v>
      </c>
    </row>
    <row r="116" spans="4:24" x14ac:dyDescent="0.2">
      <c r="D116" s="1" t="s">
        <v>11</v>
      </c>
      <c r="E116" s="1" t="s">
        <v>12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4:24" x14ac:dyDescent="0.2">
      <c r="D117" s="1">
        <v>101</v>
      </c>
      <c r="E117" s="2">
        <v>3.9352</v>
      </c>
      <c r="F117" s="2">
        <v>3.0863999999999998</v>
      </c>
      <c r="G117" s="2">
        <v>2.6945999999999999</v>
      </c>
      <c r="H117" s="2">
        <v>2.4617</v>
      </c>
      <c r="I117" s="2">
        <v>2.3043999999999998</v>
      </c>
      <c r="J117" s="2">
        <v>2.1897000000000002</v>
      </c>
      <c r="K117" s="2">
        <v>2.1015999999999999</v>
      </c>
      <c r="L117" s="2">
        <v>2.0314000000000001</v>
      </c>
      <c r="M117" s="2">
        <v>1.9739</v>
      </c>
      <c r="N117" s="2">
        <v>1.9257</v>
      </c>
      <c r="O117" s="2">
        <v>1.8847</v>
      </c>
      <c r="P117" s="2">
        <v>1.8492999999999999</v>
      </c>
      <c r="Q117" s="2">
        <v>1.8183</v>
      </c>
      <c r="R117" s="2">
        <v>1.7908999999999999</v>
      </c>
      <c r="S117" s="2">
        <v>1.7665</v>
      </c>
      <c r="T117" s="2">
        <v>1.7445999999999999</v>
      </c>
      <c r="U117" s="2">
        <v>1.7248000000000001</v>
      </c>
      <c r="V117" s="2">
        <v>1.7069000000000001</v>
      </c>
      <c r="W117" s="2">
        <v>1.6903999999999999</v>
      </c>
      <c r="X117" s="2">
        <v>1.6754</v>
      </c>
    </row>
    <row r="118" spans="4:24" x14ac:dyDescent="0.2">
      <c r="D118" s="1">
        <v>102</v>
      </c>
      <c r="E118" s="2">
        <v>3.9342000000000001</v>
      </c>
      <c r="F118" s="2">
        <v>3.0853999999999999</v>
      </c>
      <c r="G118" s="2">
        <v>2.6937000000000002</v>
      </c>
      <c r="H118" s="2">
        <v>2.4607999999999999</v>
      </c>
      <c r="I118" s="2">
        <v>2.3035000000000001</v>
      </c>
      <c r="J118" s="2">
        <v>2.1888000000000001</v>
      </c>
      <c r="K118" s="2">
        <v>2.1006999999999998</v>
      </c>
      <c r="L118" s="2">
        <v>2.0304000000000002</v>
      </c>
      <c r="M118" s="2">
        <v>1.9729000000000001</v>
      </c>
      <c r="N118" s="2">
        <v>1.9248000000000001</v>
      </c>
      <c r="O118" s="2">
        <v>1.8837999999999999</v>
      </c>
      <c r="P118" s="2">
        <v>1.8483000000000001</v>
      </c>
      <c r="Q118" s="2">
        <v>1.8172999999999999</v>
      </c>
      <c r="R118" s="2">
        <v>1.7899</v>
      </c>
      <c r="S118" s="2">
        <v>1.7655000000000001</v>
      </c>
      <c r="T118" s="2">
        <v>1.7436</v>
      </c>
      <c r="U118" s="2">
        <v>1.7238</v>
      </c>
      <c r="V118" s="2">
        <v>1.7058</v>
      </c>
      <c r="W118" s="2">
        <v>1.6894</v>
      </c>
      <c r="X118" s="2">
        <v>1.6744000000000001</v>
      </c>
    </row>
    <row r="119" spans="4:24" x14ac:dyDescent="0.2">
      <c r="D119" s="1">
        <v>103</v>
      </c>
      <c r="E119" s="2">
        <v>3.9333</v>
      </c>
      <c r="F119" s="2">
        <v>3.0846</v>
      </c>
      <c r="G119" s="2">
        <v>2.6928000000000001</v>
      </c>
      <c r="H119" s="2">
        <v>2.4599000000000002</v>
      </c>
      <c r="I119" s="2">
        <v>2.3026</v>
      </c>
      <c r="J119" s="2">
        <v>2.1879</v>
      </c>
      <c r="K119" s="2">
        <v>2.0996999999999999</v>
      </c>
      <c r="L119" s="2">
        <v>2.0295000000000001</v>
      </c>
      <c r="M119" s="2">
        <v>1.972</v>
      </c>
      <c r="N119" s="2">
        <v>1.9238</v>
      </c>
      <c r="O119" s="2">
        <v>1.8828</v>
      </c>
      <c r="P119" s="2">
        <v>1.8473999999999999</v>
      </c>
      <c r="Q119" s="2">
        <v>1.8163</v>
      </c>
      <c r="R119" s="2">
        <v>1.7889999999999999</v>
      </c>
      <c r="S119" s="2">
        <v>1.7645</v>
      </c>
      <c r="T119" s="2">
        <v>1.7426999999999999</v>
      </c>
      <c r="U119" s="2">
        <v>1.7229000000000001</v>
      </c>
      <c r="V119" s="2">
        <v>1.7048000000000001</v>
      </c>
      <c r="W119" s="2">
        <v>1.6883999999999999</v>
      </c>
      <c r="X119" s="2">
        <v>1.6733</v>
      </c>
    </row>
    <row r="120" spans="4:24" x14ac:dyDescent="0.2">
      <c r="D120" s="1">
        <v>104</v>
      </c>
      <c r="E120" s="2">
        <v>3.9325000000000001</v>
      </c>
      <c r="F120" s="2">
        <v>3.0836999999999999</v>
      </c>
      <c r="G120" s="2">
        <v>2.6920000000000002</v>
      </c>
      <c r="H120" s="2">
        <v>2.4590999999999998</v>
      </c>
      <c r="I120" s="2">
        <v>2.3016999999999999</v>
      </c>
      <c r="J120" s="2">
        <v>2.1869999999999998</v>
      </c>
      <c r="K120" s="2">
        <v>2.0989</v>
      </c>
      <c r="L120" s="2">
        <v>2.0287000000000002</v>
      </c>
      <c r="M120" s="2">
        <v>1.9711000000000001</v>
      </c>
      <c r="N120" s="2">
        <v>1.9229000000000001</v>
      </c>
      <c r="O120" s="2">
        <v>1.8818999999999999</v>
      </c>
      <c r="P120" s="2">
        <v>1.8464</v>
      </c>
      <c r="Q120" s="2">
        <v>1.8153999999999999</v>
      </c>
      <c r="R120" s="2">
        <v>1.788</v>
      </c>
      <c r="S120" s="2">
        <v>1.7636000000000001</v>
      </c>
      <c r="T120" s="2">
        <v>1.7417</v>
      </c>
      <c r="U120" s="2">
        <v>1.7219</v>
      </c>
      <c r="V120" s="2">
        <v>1.7039</v>
      </c>
      <c r="W120" s="2">
        <v>1.6874</v>
      </c>
      <c r="X120" s="2">
        <v>1.6722999999999999</v>
      </c>
    </row>
    <row r="121" spans="4:24" x14ac:dyDescent="0.2">
      <c r="D121" s="1">
        <v>105</v>
      </c>
      <c r="E121" s="2">
        <v>3.9316</v>
      </c>
      <c r="F121" s="2">
        <v>3.0828000000000002</v>
      </c>
      <c r="G121" s="2">
        <v>2.6911999999999998</v>
      </c>
      <c r="H121" s="2">
        <v>2.4582000000000002</v>
      </c>
      <c r="I121" s="2">
        <v>2.3008999999999999</v>
      </c>
      <c r="J121" s="2">
        <v>2.1861000000000002</v>
      </c>
      <c r="K121" s="2">
        <v>2.0979999999999999</v>
      </c>
      <c r="L121" s="2">
        <v>2.0278</v>
      </c>
      <c r="M121" s="2">
        <v>1.9702</v>
      </c>
      <c r="N121" s="2">
        <v>1.9219999999999999</v>
      </c>
      <c r="O121" s="2">
        <v>1.881</v>
      </c>
      <c r="P121" s="2">
        <v>1.8454999999999999</v>
      </c>
      <c r="Q121" s="2">
        <v>1.8145</v>
      </c>
      <c r="R121" s="2">
        <v>1.7870999999999999</v>
      </c>
      <c r="S121" s="2">
        <v>1.7626999999999999</v>
      </c>
      <c r="T121" s="2">
        <v>1.7406999999999999</v>
      </c>
      <c r="U121" s="2">
        <v>1.7209000000000001</v>
      </c>
      <c r="V121" s="2">
        <v>1.7029000000000001</v>
      </c>
      <c r="W121" s="2">
        <v>1.6865000000000001</v>
      </c>
      <c r="X121" s="2">
        <v>1.6714</v>
      </c>
    </row>
    <row r="122" spans="4:24" x14ac:dyDescent="0.2">
      <c r="D122" s="1">
        <v>106</v>
      </c>
      <c r="E122" s="2">
        <v>3.9306999999999999</v>
      </c>
      <c r="F122" s="2">
        <v>3.0819999999999999</v>
      </c>
      <c r="G122" s="2">
        <v>2.6903000000000001</v>
      </c>
      <c r="H122" s="2">
        <v>2.4573999999999998</v>
      </c>
      <c r="I122" s="2">
        <v>2.2999999999999998</v>
      </c>
      <c r="J122" s="2">
        <v>2.1852999999999998</v>
      </c>
      <c r="K122" s="2">
        <v>2.0971000000000002</v>
      </c>
      <c r="L122" s="2">
        <v>2.0268999999999999</v>
      </c>
      <c r="M122" s="2">
        <v>1.9694</v>
      </c>
      <c r="N122" s="2">
        <v>1.9212</v>
      </c>
      <c r="O122" s="2">
        <v>1.8801000000000001</v>
      </c>
      <c r="P122" s="2">
        <v>1.8446</v>
      </c>
      <c r="Q122" s="2">
        <v>1.8136000000000001</v>
      </c>
      <c r="R122" s="2">
        <v>1.7862</v>
      </c>
      <c r="S122" s="2">
        <v>1.7618</v>
      </c>
      <c r="T122" s="2">
        <v>1.7398</v>
      </c>
      <c r="U122" s="2">
        <v>1.72</v>
      </c>
      <c r="V122" s="2">
        <v>1.702</v>
      </c>
      <c r="W122" s="2">
        <v>1.6855</v>
      </c>
      <c r="X122" s="2">
        <v>1.6704000000000001</v>
      </c>
    </row>
    <row r="123" spans="4:24" x14ac:dyDescent="0.2">
      <c r="D123" s="1">
        <v>107</v>
      </c>
      <c r="E123" s="2">
        <v>3.9298999999999999</v>
      </c>
      <c r="F123" s="2">
        <v>3.0811999999999999</v>
      </c>
      <c r="G123" s="2">
        <v>2.6894999999999998</v>
      </c>
      <c r="H123" s="2">
        <v>2.4565999999999999</v>
      </c>
      <c r="I123" s="2">
        <v>2.2991999999999999</v>
      </c>
      <c r="J123" s="2">
        <v>2.1844999999999999</v>
      </c>
      <c r="K123" s="2">
        <v>2.0962999999999998</v>
      </c>
      <c r="L123" s="2">
        <v>2.0261</v>
      </c>
      <c r="M123" s="2">
        <v>1.9684999999999999</v>
      </c>
      <c r="N123" s="2">
        <v>1.9202999999999999</v>
      </c>
      <c r="O123" s="2">
        <v>1.8792</v>
      </c>
      <c r="P123" s="2">
        <v>1.8438000000000001</v>
      </c>
      <c r="Q123" s="2">
        <v>1.8127</v>
      </c>
      <c r="R123" s="2">
        <v>1.7853000000000001</v>
      </c>
      <c r="S123" s="2">
        <v>1.7607999999999999</v>
      </c>
      <c r="T123" s="2">
        <v>1.7388999999999999</v>
      </c>
      <c r="U123" s="2">
        <v>1.7191000000000001</v>
      </c>
      <c r="V123" s="2">
        <v>1.7011000000000001</v>
      </c>
      <c r="W123" s="2">
        <v>1.6846000000000001</v>
      </c>
      <c r="X123" s="2">
        <v>1.6695</v>
      </c>
    </row>
    <row r="124" spans="4:24" x14ac:dyDescent="0.2">
      <c r="D124" s="1">
        <v>108</v>
      </c>
      <c r="E124" s="2">
        <v>3.9289999999999998</v>
      </c>
      <c r="F124" s="2">
        <v>3.0804</v>
      </c>
      <c r="G124" s="2">
        <v>2.6886999999999999</v>
      </c>
      <c r="H124" s="2">
        <v>2.4558</v>
      </c>
      <c r="I124" s="2">
        <v>2.2984</v>
      </c>
      <c r="J124" s="2">
        <v>2.1837</v>
      </c>
      <c r="K124" s="2">
        <v>2.0954999999999999</v>
      </c>
      <c r="L124" s="2">
        <v>2.0251999999999999</v>
      </c>
      <c r="M124" s="2">
        <v>1.9677</v>
      </c>
      <c r="N124" s="2">
        <v>1.9195</v>
      </c>
      <c r="O124" s="2">
        <v>1.8784000000000001</v>
      </c>
      <c r="P124" s="2">
        <v>1.8429</v>
      </c>
      <c r="Q124" s="2">
        <v>1.8118000000000001</v>
      </c>
      <c r="R124" s="2">
        <v>1.7844</v>
      </c>
      <c r="S124" s="2">
        <v>1.7599</v>
      </c>
      <c r="T124" s="2">
        <v>1.738</v>
      </c>
      <c r="U124" s="2">
        <v>1.7181999999999999</v>
      </c>
      <c r="V124" s="2">
        <v>1.7000999999999999</v>
      </c>
      <c r="W124" s="2">
        <v>1.6837</v>
      </c>
      <c r="X124" s="2">
        <v>1.6685000000000001</v>
      </c>
    </row>
    <row r="125" spans="4:24" x14ac:dyDescent="0.2">
      <c r="D125" s="1">
        <v>109</v>
      </c>
      <c r="E125" s="2">
        <v>3.9281999999999999</v>
      </c>
      <c r="F125" s="2">
        <v>3.0796000000000001</v>
      </c>
      <c r="G125" s="2">
        <v>2.6879</v>
      </c>
      <c r="H125" s="2">
        <v>2.4550000000000001</v>
      </c>
      <c r="I125" s="2">
        <v>2.2976000000000001</v>
      </c>
      <c r="J125" s="2">
        <v>2.1827999999999999</v>
      </c>
      <c r="K125" s="2">
        <v>2.0947</v>
      </c>
      <c r="L125" s="2">
        <v>2.0244</v>
      </c>
      <c r="M125" s="2">
        <v>1.9669000000000001</v>
      </c>
      <c r="N125" s="2">
        <v>1.9186000000000001</v>
      </c>
      <c r="O125" s="2">
        <v>1.8775999999999999</v>
      </c>
      <c r="P125" s="2">
        <v>1.8421000000000001</v>
      </c>
      <c r="Q125" s="2">
        <v>1.8109999999999999</v>
      </c>
      <c r="R125" s="2">
        <v>1.7835000000000001</v>
      </c>
      <c r="S125" s="2">
        <v>1.7591000000000001</v>
      </c>
      <c r="T125" s="2">
        <v>1.7371000000000001</v>
      </c>
      <c r="U125" s="2">
        <v>1.7173</v>
      </c>
      <c r="V125" s="2">
        <v>1.6992</v>
      </c>
      <c r="W125" s="2">
        <v>1.6828000000000001</v>
      </c>
      <c r="X125" s="2">
        <v>1.6676</v>
      </c>
    </row>
    <row r="126" spans="4:24" x14ac:dyDescent="0.2">
      <c r="D126" s="1">
        <v>110</v>
      </c>
      <c r="E126" s="2">
        <v>3.9274</v>
      </c>
      <c r="F126" s="2">
        <v>3.0788000000000002</v>
      </c>
      <c r="G126" s="2">
        <v>2.6871999999999998</v>
      </c>
      <c r="H126" s="2">
        <v>2.4542000000000002</v>
      </c>
      <c r="I126" s="2">
        <v>2.2968000000000002</v>
      </c>
      <c r="J126" s="2">
        <v>2.1821000000000002</v>
      </c>
      <c r="K126" s="2">
        <v>2.0939000000000001</v>
      </c>
      <c r="L126" s="2">
        <v>2.0236000000000001</v>
      </c>
      <c r="M126" s="2">
        <v>1.9661</v>
      </c>
      <c r="N126" s="2">
        <v>1.9177999999999999</v>
      </c>
      <c r="O126" s="2">
        <v>1.8767</v>
      </c>
      <c r="P126" s="2">
        <v>1.8411999999999999</v>
      </c>
      <c r="Q126" s="2">
        <v>1.8102</v>
      </c>
      <c r="R126" s="2">
        <v>1.7827</v>
      </c>
      <c r="S126" s="2">
        <v>1.7582</v>
      </c>
      <c r="T126" s="2">
        <v>1.7363</v>
      </c>
      <c r="U126" s="2">
        <v>1.7163999999999999</v>
      </c>
      <c r="V126" s="2">
        <v>1.6983999999999999</v>
      </c>
      <c r="W126" s="2">
        <v>1.6819</v>
      </c>
      <c r="X126" s="2">
        <v>1.6667000000000001</v>
      </c>
    </row>
    <row r="127" spans="4:24" x14ac:dyDescent="0.2">
      <c r="D127" s="1">
        <v>111</v>
      </c>
      <c r="E127" s="2">
        <v>3.9266000000000001</v>
      </c>
      <c r="F127" s="2">
        <v>3.0781000000000001</v>
      </c>
      <c r="G127" s="2">
        <v>2.6863999999999999</v>
      </c>
      <c r="H127" s="2">
        <v>2.4535</v>
      </c>
      <c r="I127" s="2">
        <v>2.2961</v>
      </c>
      <c r="J127" s="2">
        <v>2.1812999999999998</v>
      </c>
      <c r="K127" s="2">
        <v>2.0931000000000002</v>
      </c>
      <c r="L127" s="2">
        <v>2.0228999999999999</v>
      </c>
      <c r="M127" s="2">
        <v>1.9653</v>
      </c>
      <c r="N127" s="2">
        <v>1.917</v>
      </c>
      <c r="O127" s="2">
        <v>1.8758999999999999</v>
      </c>
      <c r="P127" s="2">
        <v>1.8404</v>
      </c>
      <c r="Q127" s="2">
        <v>1.8092999999999999</v>
      </c>
      <c r="R127" s="2">
        <v>1.7819</v>
      </c>
      <c r="S127" s="2">
        <v>1.7574000000000001</v>
      </c>
      <c r="T127" s="2">
        <v>1.7354000000000001</v>
      </c>
      <c r="U127" s="2">
        <v>1.7156</v>
      </c>
      <c r="V127" s="2">
        <v>1.6975</v>
      </c>
      <c r="W127" s="2">
        <v>1.681</v>
      </c>
      <c r="X127" s="2">
        <v>1.6658999999999999</v>
      </c>
    </row>
    <row r="128" spans="4:24" x14ac:dyDescent="0.2">
      <c r="D128" s="1">
        <v>112</v>
      </c>
      <c r="E128" s="2">
        <v>3.9258000000000002</v>
      </c>
      <c r="F128" s="2">
        <v>3.0773000000000001</v>
      </c>
      <c r="G128" s="2">
        <v>2.6857000000000002</v>
      </c>
      <c r="H128" s="2">
        <v>2.4527000000000001</v>
      </c>
      <c r="I128" s="2">
        <v>2.2953999999999999</v>
      </c>
      <c r="J128" s="2">
        <v>2.1806000000000001</v>
      </c>
      <c r="K128" s="2">
        <v>2.0924</v>
      </c>
      <c r="L128" s="2">
        <v>2.0221</v>
      </c>
      <c r="M128" s="2">
        <v>1.9644999999999999</v>
      </c>
      <c r="N128" s="2">
        <v>1.9162999999999999</v>
      </c>
      <c r="O128" s="2">
        <v>1.8751</v>
      </c>
      <c r="P128" s="2">
        <v>1.8395999999999999</v>
      </c>
      <c r="Q128" s="2">
        <v>1.8085</v>
      </c>
      <c r="R128" s="2">
        <v>1.7810999999999999</v>
      </c>
      <c r="S128" s="2">
        <v>1.7565999999999999</v>
      </c>
      <c r="T128" s="2">
        <v>1.7345999999999999</v>
      </c>
      <c r="U128" s="2">
        <v>1.7146999999999999</v>
      </c>
      <c r="V128" s="2">
        <v>1.6967000000000001</v>
      </c>
      <c r="W128" s="2">
        <v>1.6801999999999999</v>
      </c>
      <c r="X128" s="2">
        <v>1.665</v>
      </c>
    </row>
    <row r="129" spans="4:24" x14ac:dyDescent="0.2">
      <c r="D129" s="1">
        <v>113</v>
      </c>
      <c r="E129" s="2">
        <v>3.9251</v>
      </c>
      <c r="F129" s="2">
        <v>3.0766</v>
      </c>
      <c r="G129" s="2">
        <v>2.6848999999999998</v>
      </c>
      <c r="H129" s="2">
        <v>2.452</v>
      </c>
      <c r="I129" s="2">
        <v>2.2946</v>
      </c>
      <c r="J129" s="2">
        <v>2.1798000000000002</v>
      </c>
      <c r="K129" s="2">
        <v>2.0916000000000001</v>
      </c>
      <c r="L129" s="2">
        <v>2.0213000000000001</v>
      </c>
      <c r="M129" s="2">
        <v>1.9637</v>
      </c>
      <c r="N129" s="2">
        <v>1.9155</v>
      </c>
      <c r="O129" s="2">
        <v>1.8744000000000001</v>
      </c>
      <c r="P129" s="2">
        <v>1.8388</v>
      </c>
      <c r="Q129" s="2">
        <v>1.8077000000000001</v>
      </c>
      <c r="R129" s="2">
        <v>1.7803</v>
      </c>
      <c r="S129" s="2">
        <v>1.7558</v>
      </c>
      <c r="T129" s="2">
        <v>1.7338</v>
      </c>
      <c r="U129" s="2">
        <v>1.7139</v>
      </c>
      <c r="V129" s="2">
        <v>1.6958</v>
      </c>
      <c r="W129" s="2">
        <v>1.6793</v>
      </c>
      <c r="X129" s="2">
        <v>1.6641999999999999</v>
      </c>
    </row>
    <row r="130" spans="4:24" x14ac:dyDescent="0.2">
      <c r="D130" s="1">
        <v>114</v>
      </c>
      <c r="E130" s="2">
        <v>3.9243000000000001</v>
      </c>
      <c r="F130" s="2">
        <v>3.0758000000000001</v>
      </c>
      <c r="G130" s="2">
        <v>2.6842000000000001</v>
      </c>
      <c r="H130" s="2">
        <v>2.4512999999999998</v>
      </c>
      <c r="I130" s="2">
        <v>2.2938999999999998</v>
      </c>
      <c r="J130" s="2">
        <v>2.1791</v>
      </c>
      <c r="K130" s="2">
        <v>2.0909</v>
      </c>
      <c r="L130" s="2">
        <v>2.0206</v>
      </c>
      <c r="M130" s="2">
        <v>1.9630000000000001</v>
      </c>
      <c r="N130" s="2">
        <v>1.9147000000000001</v>
      </c>
      <c r="O130" s="2">
        <v>1.8735999999999999</v>
      </c>
      <c r="P130" s="2">
        <v>1.8381000000000001</v>
      </c>
      <c r="Q130" s="2">
        <v>1.8069</v>
      </c>
      <c r="R130" s="2">
        <v>1.7795000000000001</v>
      </c>
      <c r="S130" s="2">
        <v>1.7549999999999999</v>
      </c>
      <c r="T130" s="2">
        <v>1.7330000000000001</v>
      </c>
      <c r="U130" s="2">
        <v>1.7131000000000001</v>
      </c>
      <c r="V130" s="2">
        <v>1.6950000000000001</v>
      </c>
      <c r="W130" s="2">
        <v>1.6785000000000001</v>
      </c>
      <c r="X130" s="2">
        <v>1.6633</v>
      </c>
    </row>
    <row r="131" spans="4:24" x14ac:dyDescent="0.2">
      <c r="D131" s="1">
        <v>115</v>
      </c>
      <c r="E131" s="2">
        <v>3.9236</v>
      </c>
      <c r="F131" s="2">
        <v>3.0750999999999999</v>
      </c>
      <c r="G131" s="2">
        <v>2.6835</v>
      </c>
      <c r="H131" s="2">
        <v>2.4506000000000001</v>
      </c>
      <c r="I131" s="2">
        <v>2.2932000000000001</v>
      </c>
      <c r="J131" s="2">
        <v>2.1783999999999999</v>
      </c>
      <c r="K131" s="2">
        <v>2.0901999999999998</v>
      </c>
      <c r="L131" s="2">
        <v>2.0198999999999998</v>
      </c>
      <c r="M131" s="2">
        <v>1.9622999999999999</v>
      </c>
      <c r="N131" s="2">
        <v>1.9139999999999999</v>
      </c>
      <c r="O131" s="2">
        <v>1.8729</v>
      </c>
      <c r="P131" s="2">
        <v>1.8372999999999999</v>
      </c>
      <c r="Q131" s="2">
        <v>1.8062</v>
      </c>
      <c r="R131" s="2">
        <v>1.7786999999999999</v>
      </c>
      <c r="S131" s="2">
        <v>1.7542</v>
      </c>
      <c r="T131" s="2">
        <v>1.7322</v>
      </c>
      <c r="U131" s="2">
        <v>1.7122999999999999</v>
      </c>
      <c r="V131" s="2">
        <v>1.6941999999999999</v>
      </c>
      <c r="W131" s="2">
        <v>1.6777</v>
      </c>
      <c r="X131" s="2">
        <v>1.6625000000000001</v>
      </c>
    </row>
    <row r="132" spans="4:24" x14ac:dyDescent="0.2">
      <c r="D132" s="1">
        <v>116</v>
      </c>
      <c r="E132" s="2">
        <v>3.9228000000000001</v>
      </c>
      <c r="F132" s="2">
        <v>3.0743999999999998</v>
      </c>
      <c r="G132" s="2">
        <v>2.6827999999999999</v>
      </c>
      <c r="H132" s="2">
        <v>2.4499</v>
      </c>
      <c r="I132" s="2">
        <v>2.2925</v>
      </c>
      <c r="J132" s="2">
        <v>2.1777000000000002</v>
      </c>
      <c r="K132" s="2">
        <v>2.0895000000000001</v>
      </c>
      <c r="L132" s="2">
        <v>2.0192000000000001</v>
      </c>
      <c r="M132" s="2">
        <v>1.9615</v>
      </c>
      <c r="N132" s="2">
        <v>1.9132</v>
      </c>
      <c r="O132" s="2">
        <v>1.8721000000000001</v>
      </c>
      <c r="P132" s="2">
        <v>1.8365</v>
      </c>
      <c r="Q132" s="2">
        <v>1.8053999999999999</v>
      </c>
      <c r="R132" s="2">
        <v>1.7779</v>
      </c>
      <c r="S132" s="2">
        <v>1.7534000000000001</v>
      </c>
      <c r="T132" s="2">
        <v>1.7314000000000001</v>
      </c>
      <c r="U132" s="2">
        <v>1.7115</v>
      </c>
      <c r="V132" s="2">
        <v>1.6934</v>
      </c>
      <c r="W132" s="2">
        <v>1.6769000000000001</v>
      </c>
      <c r="X132" s="2">
        <v>1.6617</v>
      </c>
    </row>
    <row r="133" spans="4:24" x14ac:dyDescent="0.2">
      <c r="D133" s="1">
        <v>117</v>
      </c>
      <c r="E133" s="2">
        <v>3.9222000000000001</v>
      </c>
      <c r="F133" s="2">
        <v>3.0737999999999999</v>
      </c>
      <c r="G133" s="2">
        <v>2.6821000000000002</v>
      </c>
      <c r="H133" s="2">
        <v>2.4491999999999998</v>
      </c>
      <c r="I133" s="2">
        <v>2.2917999999999998</v>
      </c>
      <c r="J133" s="2">
        <v>2.177</v>
      </c>
      <c r="K133" s="2">
        <v>2.0888</v>
      </c>
      <c r="L133" s="2">
        <v>2.0185</v>
      </c>
      <c r="M133" s="2">
        <v>1.9608000000000001</v>
      </c>
      <c r="N133" s="2">
        <v>1.9125000000000001</v>
      </c>
      <c r="O133" s="2">
        <v>1.8714</v>
      </c>
      <c r="P133" s="2">
        <v>1.8358000000000001</v>
      </c>
      <c r="Q133" s="2">
        <v>1.8047</v>
      </c>
      <c r="R133" s="2">
        <v>1.7771999999999999</v>
      </c>
      <c r="S133" s="2">
        <v>1.7526999999999999</v>
      </c>
      <c r="T133" s="2">
        <v>1.7306999999999999</v>
      </c>
      <c r="U133" s="2">
        <v>1.7108000000000001</v>
      </c>
      <c r="V133" s="2">
        <v>1.6927000000000001</v>
      </c>
      <c r="W133" s="2">
        <v>1.6760999999999999</v>
      </c>
      <c r="X133" s="2">
        <v>1.6609</v>
      </c>
    </row>
    <row r="134" spans="4:24" x14ac:dyDescent="0.2">
      <c r="D134" s="1">
        <v>118</v>
      </c>
      <c r="E134" s="2">
        <v>3.9215</v>
      </c>
      <c r="F134" s="2">
        <v>3.0731000000000002</v>
      </c>
      <c r="G134" s="2">
        <v>2.6815000000000002</v>
      </c>
      <c r="H134" s="2">
        <v>2.4485000000000001</v>
      </c>
      <c r="I134" s="2">
        <v>2.2911999999999999</v>
      </c>
      <c r="J134" s="2">
        <v>2.1762999999999999</v>
      </c>
      <c r="K134" s="2">
        <v>2.0880999999999998</v>
      </c>
      <c r="L134" s="2">
        <v>2.0177999999999998</v>
      </c>
      <c r="M134" s="2">
        <v>1.9601</v>
      </c>
      <c r="N134" s="2">
        <v>1.9117999999999999</v>
      </c>
      <c r="O134" s="2">
        <v>1.8707</v>
      </c>
      <c r="P134" s="2">
        <v>1.8351</v>
      </c>
      <c r="Q134" s="2">
        <v>1.804</v>
      </c>
      <c r="R134" s="2">
        <v>1.7765</v>
      </c>
      <c r="S134" s="2">
        <v>1.752</v>
      </c>
      <c r="T134" s="2">
        <v>1.7299</v>
      </c>
      <c r="U134" s="2">
        <v>1.71</v>
      </c>
      <c r="V134" s="2">
        <v>1.6919</v>
      </c>
      <c r="W134" s="2">
        <v>1.6754</v>
      </c>
      <c r="X134" s="2">
        <v>1.6601999999999999</v>
      </c>
    </row>
    <row r="135" spans="4:24" x14ac:dyDescent="0.2">
      <c r="D135" s="1">
        <v>119</v>
      </c>
      <c r="E135" s="2">
        <v>3.9207999999999998</v>
      </c>
      <c r="F135" s="2">
        <v>3.0724</v>
      </c>
      <c r="G135" s="2">
        <v>2.6808000000000001</v>
      </c>
      <c r="H135" s="2">
        <v>2.4479000000000002</v>
      </c>
      <c r="I135" s="2">
        <v>2.2905000000000002</v>
      </c>
      <c r="J135" s="2">
        <v>2.1757</v>
      </c>
      <c r="K135" s="2">
        <v>2.0874000000000001</v>
      </c>
      <c r="L135" s="2">
        <v>2.0171000000000001</v>
      </c>
      <c r="M135" s="2">
        <v>1.9594</v>
      </c>
      <c r="N135" s="2">
        <v>1.9111</v>
      </c>
      <c r="O135" s="2">
        <v>1.87</v>
      </c>
      <c r="P135" s="2">
        <v>1.8344</v>
      </c>
      <c r="Q135" s="2">
        <v>1.8031999999999999</v>
      </c>
      <c r="R135" s="2">
        <v>1.7757000000000001</v>
      </c>
      <c r="S135" s="2">
        <v>1.7512000000000001</v>
      </c>
      <c r="T135" s="2">
        <v>1.7292000000000001</v>
      </c>
      <c r="U135" s="2">
        <v>1.7093</v>
      </c>
      <c r="V135" s="2">
        <v>1.6912</v>
      </c>
      <c r="W135" s="2">
        <v>1.6746000000000001</v>
      </c>
      <c r="X135" s="2">
        <v>1.6594</v>
      </c>
    </row>
    <row r="136" spans="4:24" x14ac:dyDescent="0.2">
      <c r="D136" s="1">
        <v>120</v>
      </c>
      <c r="E136" s="2">
        <v>3.9201999999999999</v>
      </c>
      <c r="F136" s="2">
        <v>3.0718000000000001</v>
      </c>
      <c r="G136" s="2">
        <v>2.6802000000000001</v>
      </c>
      <c r="H136" s="2">
        <v>2.4472</v>
      </c>
      <c r="I136" s="2">
        <v>2.2898999999999998</v>
      </c>
      <c r="J136" s="2">
        <v>2.1749999999999998</v>
      </c>
      <c r="K136" s="2">
        <v>2.0868000000000002</v>
      </c>
      <c r="L136" s="2">
        <v>2.0164</v>
      </c>
      <c r="M136" s="2">
        <v>1.9588000000000001</v>
      </c>
      <c r="N136" s="2">
        <v>1.9105000000000001</v>
      </c>
      <c r="O136" s="2">
        <v>1.8693</v>
      </c>
      <c r="P136" s="2">
        <v>1.8337000000000001</v>
      </c>
      <c r="Q136" s="2">
        <v>1.8026</v>
      </c>
      <c r="R136" s="2">
        <v>1.7749999999999999</v>
      </c>
      <c r="S136" s="2">
        <v>1.7504999999999999</v>
      </c>
      <c r="T136" s="2">
        <v>1.7284999999999999</v>
      </c>
      <c r="U136" s="2">
        <v>1.7084999999999999</v>
      </c>
      <c r="V136" s="2">
        <v>1.6903999999999999</v>
      </c>
      <c r="W136" s="2">
        <v>1.6738999999999999</v>
      </c>
      <c r="X136" s="2">
        <v>1.6587000000000001</v>
      </c>
    </row>
    <row r="137" spans="4:24" x14ac:dyDescent="0.2">
      <c r="D137" s="1" t="s">
        <v>10</v>
      </c>
      <c r="E137" s="1">
        <v>1</v>
      </c>
      <c r="F137" s="1">
        <v>2</v>
      </c>
      <c r="G137" s="1">
        <v>3</v>
      </c>
      <c r="H137" s="1">
        <v>4</v>
      </c>
      <c r="I137" s="1">
        <v>5</v>
      </c>
      <c r="J137" s="1">
        <v>6</v>
      </c>
      <c r="K137" s="1">
        <v>7</v>
      </c>
      <c r="L137" s="1">
        <v>8</v>
      </c>
      <c r="M137" s="1">
        <v>9</v>
      </c>
      <c r="N137" s="1">
        <v>10</v>
      </c>
      <c r="O137" s="1">
        <v>11</v>
      </c>
      <c r="P137" s="1">
        <v>12</v>
      </c>
      <c r="Q137" s="1">
        <v>13</v>
      </c>
      <c r="R137" s="1">
        <v>14</v>
      </c>
      <c r="S137" s="1">
        <v>15</v>
      </c>
      <c r="T137" s="1">
        <v>16</v>
      </c>
      <c r="U137" s="1">
        <v>17</v>
      </c>
      <c r="V137" s="1">
        <v>18</v>
      </c>
      <c r="W137" s="1">
        <v>19</v>
      </c>
      <c r="X137" s="1">
        <v>20</v>
      </c>
    </row>
    <row r="138" spans="4:24" x14ac:dyDescent="0.2">
      <c r="D138" s="1" t="s">
        <v>11</v>
      </c>
      <c r="E138" s="1" t="s">
        <v>12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4:24" x14ac:dyDescent="0.2">
      <c r="D139" s="1">
        <v>121</v>
      </c>
      <c r="E139" s="2">
        <v>3.9194</v>
      </c>
      <c r="F139" s="2">
        <v>3.0712000000000002</v>
      </c>
      <c r="G139" s="2">
        <v>2.6795</v>
      </c>
      <c r="H139" s="2">
        <v>2.4466000000000001</v>
      </c>
      <c r="I139" s="2">
        <v>2.2892000000000001</v>
      </c>
      <c r="J139" s="2">
        <v>2.1743999999999999</v>
      </c>
      <c r="K139" s="2">
        <v>2.0861000000000001</v>
      </c>
      <c r="L139" s="2">
        <v>2.0158</v>
      </c>
      <c r="M139" s="2">
        <v>1.9581</v>
      </c>
      <c r="N139" s="2">
        <v>1.9097999999999999</v>
      </c>
      <c r="O139" s="2">
        <v>1.8686</v>
      </c>
      <c r="P139" s="2">
        <v>1.833</v>
      </c>
      <c r="Q139" s="2">
        <v>1.8019000000000001</v>
      </c>
      <c r="R139" s="2">
        <v>1.7743</v>
      </c>
      <c r="S139" s="2">
        <v>1.7498</v>
      </c>
      <c r="T139" s="2">
        <v>1.7278</v>
      </c>
      <c r="U139" s="2">
        <v>1.7078</v>
      </c>
      <c r="V139" s="2">
        <v>1.6897</v>
      </c>
      <c r="W139" s="2">
        <v>1.6732</v>
      </c>
      <c r="X139" s="2">
        <v>1.6578999999999999</v>
      </c>
    </row>
    <row r="140" spans="4:24" x14ac:dyDescent="0.2">
      <c r="D140" s="1">
        <v>122</v>
      </c>
      <c r="E140" s="2">
        <v>3.9188000000000001</v>
      </c>
      <c r="F140" s="2">
        <v>3.0705</v>
      </c>
      <c r="G140" s="2">
        <v>2.6789000000000001</v>
      </c>
      <c r="H140" s="2">
        <v>2.4460000000000002</v>
      </c>
      <c r="I140" s="2">
        <v>2.2886000000000002</v>
      </c>
      <c r="J140" s="2">
        <v>2.1737000000000002</v>
      </c>
      <c r="K140" s="2">
        <v>2.0855000000000001</v>
      </c>
      <c r="L140" s="2">
        <v>2.0150999999999999</v>
      </c>
      <c r="M140" s="2">
        <v>1.9575</v>
      </c>
      <c r="N140" s="2">
        <v>1.9091</v>
      </c>
      <c r="O140" s="2">
        <v>1.8680000000000001</v>
      </c>
      <c r="P140" s="2">
        <v>1.8324</v>
      </c>
      <c r="Q140" s="2">
        <v>1.8011999999999999</v>
      </c>
      <c r="R140" s="2">
        <v>1.7736000000000001</v>
      </c>
      <c r="S140" s="2">
        <v>1.7491000000000001</v>
      </c>
      <c r="T140" s="2">
        <v>1.7270000000000001</v>
      </c>
      <c r="U140" s="2">
        <v>1.7071000000000001</v>
      </c>
      <c r="V140" s="2">
        <v>1.6890000000000001</v>
      </c>
      <c r="W140" s="2">
        <v>1.6724000000000001</v>
      </c>
      <c r="X140" s="2">
        <v>1.6572</v>
      </c>
    </row>
    <row r="141" spans="4:24" x14ac:dyDescent="0.2">
      <c r="D141" s="1">
        <v>123</v>
      </c>
      <c r="E141" s="2">
        <v>3.9180999999999999</v>
      </c>
      <c r="F141" s="2">
        <v>3.0699000000000001</v>
      </c>
      <c r="G141" s="2">
        <v>2.6783000000000001</v>
      </c>
      <c r="H141" s="2">
        <v>2.4453999999999998</v>
      </c>
      <c r="I141" s="2">
        <v>2.2879999999999998</v>
      </c>
      <c r="J141" s="2">
        <v>2.1730999999999998</v>
      </c>
      <c r="K141" s="2">
        <v>2.0849000000000002</v>
      </c>
      <c r="L141" s="2">
        <v>2.0145</v>
      </c>
      <c r="M141" s="2">
        <v>1.9568000000000001</v>
      </c>
      <c r="N141" s="2">
        <v>1.9085000000000001</v>
      </c>
      <c r="O141" s="2">
        <v>1.8673</v>
      </c>
      <c r="P141" s="2">
        <v>1.8317000000000001</v>
      </c>
      <c r="Q141" s="2">
        <v>1.8005</v>
      </c>
      <c r="R141" s="2">
        <v>1.7729999999999999</v>
      </c>
      <c r="S141" s="2">
        <v>1.7484</v>
      </c>
      <c r="T141" s="2">
        <v>1.7263999999999999</v>
      </c>
      <c r="U141" s="2">
        <v>1.7063999999999999</v>
      </c>
      <c r="V141" s="2">
        <v>1.6882999999999999</v>
      </c>
      <c r="W141" s="2">
        <v>1.6717</v>
      </c>
      <c r="X141" s="2">
        <v>1.6565000000000001</v>
      </c>
    </row>
    <row r="142" spans="4:24" x14ac:dyDescent="0.2">
      <c r="D142" s="1">
        <v>124</v>
      </c>
      <c r="E142" s="2">
        <v>3.9176000000000002</v>
      </c>
      <c r="F142" s="2">
        <v>3.0693000000000001</v>
      </c>
      <c r="G142" s="2">
        <v>2.6777000000000002</v>
      </c>
      <c r="H142" s="2">
        <v>2.4447999999999999</v>
      </c>
      <c r="I142" s="2">
        <v>2.2873999999999999</v>
      </c>
      <c r="J142" s="2">
        <v>2.1724999999999999</v>
      </c>
      <c r="K142" s="2">
        <v>2.0842000000000001</v>
      </c>
      <c r="L142" s="2">
        <v>2.0139</v>
      </c>
      <c r="M142" s="2">
        <v>1.9561999999999999</v>
      </c>
      <c r="N142" s="2">
        <v>1.9077999999999999</v>
      </c>
      <c r="O142" s="2">
        <v>1.8667</v>
      </c>
      <c r="P142" s="2">
        <v>1.831</v>
      </c>
      <c r="Q142" s="2">
        <v>1.7999000000000001</v>
      </c>
      <c r="R142" s="2">
        <v>1.7723</v>
      </c>
      <c r="S142" s="2">
        <v>1.7478</v>
      </c>
      <c r="T142" s="2">
        <v>1.7257</v>
      </c>
      <c r="U142" s="2">
        <v>1.7058</v>
      </c>
      <c r="V142" s="2">
        <v>1.6876</v>
      </c>
      <c r="W142" s="2">
        <v>1.6711</v>
      </c>
      <c r="X142" s="2">
        <v>1.6557999999999999</v>
      </c>
    </row>
    <row r="143" spans="4:24" x14ac:dyDescent="0.2">
      <c r="D143" s="1">
        <v>125</v>
      </c>
      <c r="E143" s="2">
        <v>3.9169</v>
      </c>
      <c r="F143" s="2">
        <v>3.0687000000000002</v>
      </c>
      <c r="G143" s="2">
        <v>2.6770999999999998</v>
      </c>
      <c r="H143" s="2">
        <v>2.4441999999999999</v>
      </c>
      <c r="I143" s="2">
        <v>2.2867999999999999</v>
      </c>
      <c r="J143" s="2">
        <v>2.1718999999999999</v>
      </c>
      <c r="K143" s="2">
        <v>2.0836000000000001</v>
      </c>
      <c r="L143" s="2">
        <v>2.0133000000000001</v>
      </c>
      <c r="M143" s="2">
        <v>1.9556</v>
      </c>
      <c r="N143" s="2">
        <v>1.9072</v>
      </c>
      <c r="O143" s="2">
        <v>1.8660000000000001</v>
      </c>
      <c r="P143" s="2">
        <v>1.8304</v>
      </c>
      <c r="Q143" s="2">
        <v>1.7991999999999999</v>
      </c>
      <c r="R143" s="2">
        <v>1.7717000000000001</v>
      </c>
      <c r="S143" s="2">
        <v>1.7471000000000001</v>
      </c>
      <c r="T143" s="2">
        <v>1.7250000000000001</v>
      </c>
      <c r="U143" s="2">
        <v>1.7051000000000001</v>
      </c>
      <c r="V143" s="2">
        <v>1.6869000000000001</v>
      </c>
      <c r="W143" s="2">
        <v>1.6704000000000001</v>
      </c>
      <c r="X143" s="2">
        <v>1.6551</v>
      </c>
    </row>
    <row r="144" spans="4:24" x14ac:dyDescent="0.2">
      <c r="D144" s="1">
        <v>126</v>
      </c>
      <c r="E144" s="2">
        <v>3.9163000000000001</v>
      </c>
      <c r="F144" s="2">
        <v>3.0680999999999998</v>
      </c>
      <c r="G144" s="2">
        <v>2.6764999999999999</v>
      </c>
      <c r="H144" s="2">
        <v>2.4436</v>
      </c>
      <c r="I144" s="2">
        <v>2.2862</v>
      </c>
      <c r="J144" s="2">
        <v>2.1713</v>
      </c>
      <c r="K144" s="2">
        <v>2.0830000000000002</v>
      </c>
      <c r="L144" s="2">
        <v>2.0125999999999999</v>
      </c>
      <c r="M144" s="2">
        <v>1.9550000000000001</v>
      </c>
      <c r="N144" s="2">
        <v>1.9066000000000001</v>
      </c>
      <c r="O144" s="2">
        <v>1.8653999999999999</v>
      </c>
      <c r="P144" s="2">
        <v>1.8298000000000001</v>
      </c>
      <c r="Q144" s="2">
        <v>1.7986</v>
      </c>
      <c r="R144" s="2">
        <v>1.7709999999999999</v>
      </c>
      <c r="S144" s="2">
        <v>1.7464</v>
      </c>
      <c r="T144" s="2">
        <v>1.7243999999999999</v>
      </c>
      <c r="U144" s="2">
        <v>1.7043999999999999</v>
      </c>
      <c r="V144" s="2">
        <v>1.6862999999999999</v>
      </c>
      <c r="W144" s="2">
        <v>1.6697</v>
      </c>
      <c r="X144" s="2">
        <v>1.6544000000000001</v>
      </c>
    </row>
    <row r="145" spans="4:24" x14ac:dyDescent="0.2">
      <c r="D145" s="1">
        <v>127</v>
      </c>
      <c r="E145" s="2">
        <v>3.9157000000000002</v>
      </c>
      <c r="F145" s="2">
        <v>3.0674999999999999</v>
      </c>
      <c r="G145" s="2">
        <v>2.6758999999999999</v>
      </c>
      <c r="H145" s="2">
        <v>2.4430000000000001</v>
      </c>
      <c r="I145" s="2">
        <v>2.2856000000000001</v>
      </c>
      <c r="J145" s="2">
        <v>2.1707000000000001</v>
      </c>
      <c r="K145" s="2">
        <v>2.0823999999999998</v>
      </c>
      <c r="L145" s="2">
        <v>2.0121000000000002</v>
      </c>
      <c r="M145" s="2">
        <v>1.9543999999999999</v>
      </c>
      <c r="N145" s="2">
        <v>1.9059999999999999</v>
      </c>
      <c r="O145" s="2">
        <v>1.8648</v>
      </c>
      <c r="P145" s="2">
        <v>1.8290999999999999</v>
      </c>
      <c r="Q145" s="2">
        <v>1.7979000000000001</v>
      </c>
      <c r="R145" s="2">
        <v>1.7704</v>
      </c>
      <c r="S145" s="2">
        <v>1.7458</v>
      </c>
      <c r="T145" s="2">
        <v>1.7237</v>
      </c>
      <c r="U145" s="2">
        <v>1.7038</v>
      </c>
      <c r="V145" s="2">
        <v>1.6856</v>
      </c>
      <c r="W145" s="2">
        <v>1.669</v>
      </c>
      <c r="X145" s="2">
        <v>1.6537999999999999</v>
      </c>
    </row>
    <row r="146" spans="4:24" x14ac:dyDescent="0.2">
      <c r="D146" s="1">
        <v>128</v>
      </c>
      <c r="E146" s="2">
        <v>3.9150999999999998</v>
      </c>
      <c r="F146" s="2">
        <v>3.0669</v>
      </c>
      <c r="G146" s="2">
        <v>2.6753999999999998</v>
      </c>
      <c r="H146" s="2">
        <v>2.4424000000000001</v>
      </c>
      <c r="I146" s="2">
        <v>2.2850000000000001</v>
      </c>
      <c r="J146" s="2">
        <v>2.1701000000000001</v>
      </c>
      <c r="K146" s="2">
        <v>2.0819000000000001</v>
      </c>
      <c r="L146" s="2">
        <v>2.0114999999999998</v>
      </c>
      <c r="M146" s="2">
        <v>1.9538</v>
      </c>
      <c r="N146" s="2">
        <v>1.9054</v>
      </c>
      <c r="O146" s="2">
        <v>1.8642000000000001</v>
      </c>
      <c r="P146" s="2">
        <v>1.8285</v>
      </c>
      <c r="Q146" s="2">
        <v>1.7974000000000001</v>
      </c>
      <c r="R146" s="2">
        <v>1.7698</v>
      </c>
      <c r="S146" s="2">
        <v>1.7452000000000001</v>
      </c>
      <c r="T146" s="2">
        <v>1.7231000000000001</v>
      </c>
      <c r="U146" s="2">
        <v>1.7031000000000001</v>
      </c>
      <c r="V146" s="2">
        <v>1.6850000000000001</v>
      </c>
      <c r="W146" s="2">
        <v>1.6684000000000001</v>
      </c>
      <c r="X146" s="2">
        <v>1.6531</v>
      </c>
    </row>
    <row r="147" spans="4:24" x14ac:dyDescent="0.2">
      <c r="D147" s="1">
        <v>129</v>
      </c>
      <c r="E147" s="2">
        <v>3.9144999999999999</v>
      </c>
      <c r="F147" s="2">
        <v>3.0663999999999998</v>
      </c>
      <c r="G147" s="2">
        <v>2.6749000000000001</v>
      </c>
      <c r="H147" s="2">
        <v>2.4419</v>
      </c>
      <c r="I147" s="2">
        <v>2.2845</v>
      </c>
      <c r="J147" s="2">
        <v>2.1696</v>
      </c>
      <c r="K147" s="2">
        <v>2.0813000000000001</v>
      </c>
      <c r="L147" s="2">
        <v>2.0108999999999999</v>
      </c>
      <c r="M147" s="2">
        <v>1.9532</v>
      </c>
      <c r="N147" s="2">
        <v>1.9048</v>
      </c>
      <c r="O147" s="2">
        <v>1.8635999999999999</v>
      </c>
      <c r="P147" s="2">
        <v>1.8280000000000001</v>
      </c>
      <c r="Q147" s="2">
        <v>1.7967</v>
      </c>
      <c r="R147" s="2">
        <v>1.7692000000000001</v>
      </c>
      <c r="S147" s="2">
        <v>1.7445999999999999</v>
      </c>
      <c r="T147" s="2">
        <v>1.7224999999999999</v>
      </c>
      <c r="U147" s="2">
        <v>1.7024999999999999</v>
      </c>
      <c r="V147" s="2">
        <v>1.6842999999999999</v>
      </c>
      <c r="W147" s="2">
        <v>1.6677</v>
      </c>
      <c r="X147" s="2">
        <v>1.6525000000000001</v>
      </c>
    </row>
    <row r="148" spans="4:24" x14ac:dyDescent="0.2">
      <c r="D148" s="1">
        <v>130</v>
      </c>
      <c r="E148" s="2">
        <v>3.9140000000000001</v>
      </c>
      <c r="F148" s="2">
        <v>3.0659000000000001</v>
      </c>
      <c r="G148" s="2">
        <v>2.6743000000000001</v>
      </c>
      <c r="H148" s="2">
        <v>2.4413999999999998</v>
      </c>
      <c r="I148" s="2">
        <v>2.2839</v>
      </c>
      <c r="J148" s="2">
        <v>2.169</v>
      </c>
      <c r="K148" s="2">
        <v>2.0807000000000002</v>
      </c>
      <c r="L148" s="2">
        <v>2.0103</v>
      </c>
      <c r="M148" s="2">
        <v>1.9525999999999999</v>
      </c>
      <c r="N148" s="2">
        <v>1.9041999999999999</v>
      </c>
      <c r="O148" s="2">
        <v>1.863</v>
      </c>
      <c r="P148" s="2">
        <v>1.8272999999999999</v>
      </c>
      <c r="Q148" s="2">
        <v>1.7962</v>
      </c>
      <c r="R148" s="2">
        <v>1.7685</v>
      </c>
      <c r="S148" s="2">
        <v>1.744</v>
      </c>
      <c r="T148" s="2">
        <v>1.7219</v>
      </c>
      <c r="U148" s="2">
        <v>1.7019</v>
      </c>
      <c r="V148" s="2">
        <v>1.6837</v>
      </c>
      <c r="W148" s="2">
        <v>1.6671</v>
      </c>
      <c r="X148" s="2">
        <v>1.6518999999999999</v>
      </c>
    </row>
    <row r="149" spans="4:24" x14ac:dyDescent="0.2">
      <c r="D149" s="1">
        <v>131</v>
      </c>
      <c r="E149" s="2">
        <v>3.9134000000000002</v>
      </c>
      <c r="F149" s="2">
        <v>3.0653000000000001</v>
      </c>
      <c r="G149" s="2">
        <v>2.6737000000000002</v>
      </c>
      <c r="H149" s="2">
        <v>2.4407999999999999</v>
      </c>
      <c r="I149" s="2">
        <v>2.2833999999999999</v>
      </c>
      <c r="J149" s="2">
        <v>2.1684999999999999</v>
      </c>
      <c r="K149" s="2">
        <v>2.0802</v>
      </c>
      <c r="L149" s="2">
        <v>2.0097999999999998</v>
      </c>
      <c r="M149" s="2">
        <v>1.9520999999999999</v>
      </c>
      <c r="N149" s="2">
        <v>1.9036999999999999</v>
      </c>
      <c r="O149" s="2">
        <v>1.8624000000000001</v>
      </c>
      <c r="P149" s="2">
        <v>1.8268</v>
      </c>
      <c r="Q149" s="2">
        <v>1.7956000000000001</v>
      </c>
      <c r="R149" s="2">
        <v>1.768</v>
      </c>
      <c r="S149" s="2">
        <v>1.7434000000000001</v>
      </c>
      <c r="T149" s="2">
        <v>1.7213000000000001</v>
      </c>
      <c r="U149" s="2">
        <v>1.7013</v>
      </c>
      <c r="V149" s="2">
        <v>1.6831</v>
      </c>
      <c r="W149" s="2">
        <v>1.6665000000000001</v>
      </c>
      <c r="X149" s="2">
        <v>1.6513</v>
      </c>
    </row>
    <row r="150" spans="4:24" x14ac:dyDescent="0.2">
      <c r="D150" s="1">
        <v>132</v>
      </c>
      <c r="E150" s="2">
        <v>3.9129</v>
      </c>
      <c r="F150" s="2">
        <v>3.0648</v>
      </c>
      <c r="G150" s="2">
        <v>2.6732</v>
      </c>
      <c r="H150" s="2">
        <v>2.4403000000000001</v>
      </c>
      <c r="I150" s="2">
        <v>2.2829000000000002</v>
      </c>
      <c r="J150" s="2">
        <v>2.1680000000000001</v>
      </c>
      <c r="K150" s="2">
        <v>2.0796000000000001</v>
      </c>
      <c r="L150" s="2">
        <v>2.0091999999999999</v>
      </c>
      <c r="M150" s="2">
        <v>1.9515</v>
      </c>
      <c r="N150" s="2">
        <v>1.9031</v>
      </c>
      <c r="O150" s="2">
        <v>1.8619000000000001</v>
      </c>
      <c r="P150" s="2">
        <v>1.8262</v>
      </c>
      <c r="Q150" s="2">
        <v>1.7949999999999999</v>
      </c>
      <c r="R150" s="2">
        <v>1.7674000000000001</v>
      </c>
      <c r="S150" s="2">
        <v>1.7427999999999999</v>
      </c>
      <c r="T150" s="2">
        <v>1.7206999999999999</v>
      </c>
      <c r="U150" s="2">
        <v>1.7007000000000001</v>
      </c>
      <c r="V150" s="2">
        <v>1.6825000000000001</v>
      </c>
      <c r="W150" s="2">
        <v>1.6658999999999999</v>
      </c>
      <c r="X150" s="2">
        <v>1.6506000000000001</v>
      </c>
    </row>
    <row r="151" spans="4:24" x14ac:dyDescent="0.2">
      <c r="D151" s="1">
        <v>133</v>
      </c>
      <c r="E151" s="2">
        <v>3.9123000000000001</v>
      </c>
      <c r="F151" s="2">
        <v>3.0642</v>
      </c>
      <c r="G151" s="2">
        <v>2.6726999999999999</v>
      </c>
      <c r="H151" s="2">
        <v>2.4398</v>
      </c>
      <c r="I151" s="2">
        <v>2.2823000000000002</v>
      </c>
      <c r="J151" s="2">
        <v>2.1674000000000002</v>
      </c>
      <c r="K151" s="2">
        <v>2.0790999999999999</v>
      </c>
      <c r="L151" s="2">
        <v>2.0087000000000002</v>
      </c>
      <c r="M151" s="2">
        <v>1.9510000000000001</v>
      </c>
      <c r="N151" s="2">
        <v>1.9026000000000001</v>
      </c>
      <c r="O151" s="2">
        <v>1.8613</v>
      </c>
      <c r="P151" s="2">
        <v>1.8255999999999999</v>
      </c>
      <c r="Q151" s="2">
        <v>1.7944</v>
      </c>
      <c r="R151" s="2">
        <v>1.7667999999999999</v>
      </c>
      <c r="S151" s="2">
        <v>1.7422</v>
      </c>
      <c r="T151" s="2">
        <v>1.7201</v>
      </c>
      <c r="U151" s="2">
        <v>1.7000999999999999</v>
      </c>
      <c r="V151" s="2">
        <v>1.6819</v>
      </c>
      <c r="W151" s="2">
        <v>1.6653</v>
      </c>
      <c r="X151" s="2">
        <v>1.65</v>
      </c>
    </row>
    <row r="152" spans="4:24" x14ac:dyDescent="0.2">
      <c r="D152" s="1">
        <v>134</v>
      </c>
      <c r="E152" s="2">
        <v>3.9117999999999999</v>
      </c>
      <c r="F152" s="2">
        <v>3.0636999999999999</v>
      </c>
      <c r="G152" s="2">
        <v>2.6722000000000001</v>
      </c>
      <c r="H152" s="2">
        <v>2.4392</v>
      </c>
      <c r="I152" s="2">
        <v>2.2818000000000001</v>
      </c>
      <c r="J152" s="2">
        <v>2.1669</v>
      </c>
      <c r="K152" s="2">
        <v>2.0785999999999998</v>
      </c>
      <c r="L152" s="2">
        <v>2.0082</v>
      </c>
      <c r="M152" s="2">
        <v>1.9503999999999999</v>
      </c>
      <c r="N152" s="2">
        <v>1.9019999999999999</v>
      </c>
      <c r="O152" s="2">
        <v>1.8608</v>
      </c>
      <c r="P152" s="2">
        <v>1.8250999999999999</v>
      </c>
      <c r="Q152" s="2">
        <v>1.7939000000000001</v>
      </c>
      <c r="R152" s="2">
        <v>1.7662</v>
      </c>
      <c r="S152" s="2">
        <v>1.7416</v>
      </c>
      <c r="T152" s="2">
        <v>1.7195</v>
      </c>
      <c r="U152" s="2">
        <v>1.6995</v>
      </c>
      <c r="V152" s="2">
        <v>1.6813</v>
      </c>
      <c r="W152" s="2">
        <v>1.6647000000000001</v>
      </c>
      <c r="X152" s="2">
        <v>1.6494</v>
      </c>
    </row>
    <row r="153" spans="4:24" x14ac:dyDescent="0.2">
      <c r="D153" s="1">
        <v>135</v>
      </c>
      <c r="E153" s="2">
        <v>3.9112</v>
      </c>
      <c r="F153" s="2">
        <v>3.0632000000000001</v>
      </c>
      <c r="G153" s="2">
        <v>2.6717</v>
      </c>
      <c r="H153" s="2">
        <v>2.4386999999999999</v>
      </c>
      <c r="I153" s="2">
        <v>2.2812999999999999</v>
      </c>
      <c r="J153" s="2">
        <v>2.1663999999999999</v>
      </c>
      <c r="K153" s="2">
        <v>2.0781000000000001</v>
      </c>
      <c r="L153" s="2">
        <v>2.0076000000000001</v>
      </c>
      <c r="M153" s="2">
        <v>1.9499</v>
      </c>
      <c r="N153" s="2">
        <v>1.9015</v>
      </c>
      <c r="O153" s="2">
        <v>1.8602000000000001</v>
      </c>
      <c r="P153" s="2">
        <v>1.8245</v>
      </c>
      <c r="Q153" s="2">
        <v>1.7932999999999999</v>
      </c>
      <c r="R153" s="2">
        <v>1.7657</v>
      </c>
      <c r="S153" s="2">
        <v>1.7411000000000001</v>
      </c>
      <c r="T153" s="2">
        <v>1.7190000000000001</v>
      </c>
      <c r="U153" s="2">
        <v>1.6989000000000001</v>
      </c>
      <c r="V153" s="2">
        <v>1.6808000000000001</v>
      </c>
      <c r="W153" s="2">
        <v>1.6640999999999999</v>
      </c>
      <c r="X153" s="2">
        <v>1.6488</v>
      </c>
    </row>
    <row r="154" spans="4:24" x14ac:dyDescent="0.2">
      <c r="D154" s="1">
        <v>136</v>
      </c>
      <c r="E154" s="2">
        <v>3.9108000000000001</v>
      </c>
      <c r="F154" s="2">
        <v>3.0627</v>
      </c>
      <c r="G154" s="2">
        <v>2.6711999999999998</v>
      </c>
      <c r="H154" s="2">
        <v>2.4382000000000001</v>
      </c>
      <c r="I154" s="2">
        <v>2.2808000000000002</v>
      </c>
      <c r="J154" s="2">
        <v>2.1659000000000002</v>
      </c>
      <c r="K154" s="2">
        <v>2.0775000000000001</v>
      </c>
      <c r="L154" s="2">
        <v>2.0070999999999999</v>
      </c>
      <c r="M154" s="2">
        <v>1.9494</v>
      </c>
      <c r="N154" s="2">
        <v>1.901</v>
      </c>
      <c r="O154" s="2">
        <v>1.8596999999999999</v>
      </c>
      <c r="P154" s="2">
        <v>1.8240000000000001</v>
      </c>
      <c r="Q154" s="2">
        <v>1.7927999999999999</v>
      </c>
      <c r="R154" s="2">
        <v>1.7650999999999999</v>
      </c>
      <c r="S154" s="2">
        <v>1.7404999999999999</v>
      </c>
      <c r="T154" s="2">
        <v>1.7183999999999999</v>
      </c>
      <c r="U154" s="2">
        <v>1.6983999999999999</v>
      </c>
      <c r="V154" s="2">
        <v>1.6801999999999999</v>
      </c>
      <c r="W154" s="2">
        <v>1.6635</v>
      </c>
      <c r="X154" s="2">
        <v>1.6483000000000001</v>
      </c>
    </row>
    <row r="155" spans="4:24" x14ac:dyDescent="0.2">
      <c r="D155" s="1">
        <v>137</v>
      </c>
      <c r="E155" s="2">
        <v>3.9102000000000001</v>
      </c>
      <c r="F155" s="2">
        <v>3.0621999999999998</v>
      </c>
      <c r="G155" s="2">
        <v>2.6707000000000001</v>
      </c>
      <c r="H155" s="2">
        <v>2.4378000000000002</v>
      </c>
      <c r="I155" s="2">
        <v>2.2803</v>
      </c>
      <c r="J155" s="2">
        <v>2.1654</v>
      </c>
      <c r="K155" s="2">
        <v>2.077</v>
      </c>
      <c r="L155" s="2">
        <v>2.0066000000000002</v>
      </c>
      <c r="M155" s="2">
        <v>1.9488000000000001</v>
      </c>
      <c r="N155" s="2">
        <v>1.9004000000000001</v>
      </c>
      <c r="O155" s="2">
        <v>1.8592</v>
      </c>
      <c r="P155" s="2">
        <v>1.8234999999999999</v>
      </c>
      <c r="Q155" s="2">
        <v>1.7922</v>
      </c>
      <c r="R155" s="2">
        <v>1.7645999999999999</v>
      </c>
      <c r="S155" s="2">
        <v>1.74</v>
      </c>
      <c r="T155" s="2">
        <v>1.7178</v>
      </c>
      <c r="U155" s="2">
        <v>1.6978</v>
      </c>
      <c r="V155" s="2">
        <v>1.6796</v>
      </c>
      <c r="W155" s="2">
        <v>1.663</v>
      </c>
      <c r="X155" s="2">
        <v>1.6476999999999999</v>
      </c>
    </row>
    <row r="156" spans="4:24" x14ac:dyDescent="0.2">
      <c r="D156" s="1">
        <v>138</v>
      </c>
      <c r="E156" s="2">
        <v>3.9098000000000002</v>
      </c>
      <c r="F156" s="2">
        <v>3.0617000000000001</v>
      </c>
      <c r="G156" s="2">
        <v>2.6701999999999999</v>
      </c>
      <c r="H156" s="2">
        <v>2.4373</v>
      </c>
      <c r="I156" s="2">
        <v>2.2797999999999998</v>
      </c>
      <c r="J156" s="2">
        <v>2.1648999999999998</v>
      </c>
      <c r="K156" s="2">
        <v>2.0766</v>
      </c>
      <c r="L156" s="2">
        <v>2.0061</v>
      </c>
      <c r="M156" s="2">
        <v>1.9482999999999999</v>
      </c>
      <c r="N156" s="2">
        <v>1.8998999999999999</v>
      </c>
      <c r="O156" s="2">
        <v>1.8586</v>
      </c>
      <c r="P156" s="2">
        <v>1.823</v>
      </c>
      <c r="Q156" s="2">
        <v>1.7917000000000001</v>
      </c>
      <c r="R156" s="2">
        <v>1.7641</v>
      </c>
      <c r="S156" s="2">
        <v>1.7394000000000001</v>
      </c>
      <c r="T156" s="2">
        <v>1.7173</v>
      </c>
      <c r="U156" s="2">
        <v>1.6973</v>
      </c>
      <c r="V156" s="2">
        <v>1.6791</v>
      </c>
      <c r="W156" s="2">
        <v>1.6624000000000001</v>
      </c>
      <c r="X156" s="2">
        <v>1.6471</v>
      </c>
    </row>
    <row r="157" spans="4:24" x14ac:dyDescent="0.2">
      <c r="D157" s="1">
        <v>139</v>
      </c>
      <c r="E157" s="2">
        <v>3.9091999999999998</v>
      </c>
      <c r="F157" s="2">
        <v>3.0613000000000001</v>
      </c>
      <c r="G157" s="2">
        <v>2.6697000000000002</v>
      </c>
      <c r="H157" s="2">
        <v>2.4367999999999999</v>
      </c>
      <c r="I157" s="2">
        <v>2.2793999999999999</v>
      </c>
      <c r="J157" s="2">
        <v>2.1644000000000001</v>
      </c>
      <c r="K157" s="2">
        <v>2.0760999999999998</v>
      </c>
      <c r="L157" s="2">
        <v>2.0055999999999998</v>
      </c>
      <c r="M157" s="2">
        <v>1.9478</v>
      </c>
      <c r="N157" s="2">
        <v>1.8994</v>
      </c>
      <c r="O157" s="2">
        <v>1.8581000000000001</v>
      </c>
      <c r="P157" s="2">
        <v>1.8224</v>
      </c>
      <c r="Q157" s="2">
        <v>1.7911999999999999</v>
      </c>
      <c r="R157" s="2">
        <v>1.7635000000000001</v>
      </c>
      <c r="S157" s="2">
        <v>1.7388999999999999</v>
      </c>
      <c r="T157" s="2">
        <v>1.7168000000000001</v>
      </c>
      <c r="U157" s="2">
        <v>1.6967000000000001</v>
      </c>
      <c r="V157" s="2">
        <v>1.6785000000000001</v>
      </c>
      <c r="W157" s="2">
        <v>1.6618999999999999</v>
      </c>
      <c r="X157" s="2">
        <v>1.6466000000000001</v>
      </c>
    </row>
    <row r="158" spans="4:24" x14ac:dyDescent="0.2">
      <c r="D158" s="1">
        <v>140</v>
      </c>
      <c r="E158" s="2">
        <v>3.9087000000000001</v>
      </c>
      <c r="F158" s="2">
        <v>3.0608</v>
      </c>
      <c r="G158" s="2">
        <v>2.6692</v>
      </c>
      <c r="H158" s="2">
        <v>2.4363000000000001</v>
      </c>
      <c r="I158" s="2">
        <v>2.2789000000000001</v>
      </c>
      <c r="J158" s="2">
        <v>2.1638999999999999</v>
      </c>
      <c r="K158" s="2">
        <v>2.0756000000000001</v>
      </c>
      <c r="L158" s="2">
        <v>2.0051000000000001</v>
      </c>
      <c r="M158" s="2">
        <v>1.9473</v>
      </c>
      <c r="N158" s="2">
        <v>1.8989</v>
      </c>
      <c r="O158" s="2">
        <v>1.8575999999999999</v>
      </c>
      <c r="P158" s="2">
        <v>1.8219000000000001</v>
      </c>
      <c r="Q158" s="2">
        <v>1.7907</v>
      </c>
      <c r="R158" s="2">
        <v>1.7629999999999999</v>
      </c>
      <c r="S158" s="2">
        <v>1.7383999999999999</v>
      </c>
      <c r="T158" s="2">
        <v>1.7161999999999999</v>
      </c>
      <c r="U158" s="2">
        <v>1.6961999999999999</v>
      </c>
      <c r="V158" s="2">
        <v>1.6779999999999999</v>
      </c>
      <c r="W158" s="2">
        <v>1.6613</v>
      </c>
      <c r="X158" s="2">
        <v>1.6459999999999999</v>
      </c>
    </row>
    <row r="159" spans="4:24" x14ac:dyDescent="0.2">
      <c r="D159" s="1" t="s">
        <v>10</v>
      </c>
      <c r="E159" s="1">
        <v>1</v>
      </c>
      <c r="F159" s="1">
        <v>2</v>
      </c>
      <c r="G159" s="1">
        <v>3</v>
      </c>
      <c r="H159" s="1">
        <v>4</v>
      </c>
      <c r="I159" s="1">
        <v>5</v>
      </c>
      <c r="J159" s="1">
        <v>6</v>
      </c>
      <c r="K159" s="1">
        <v>7</v>
      </c>
      <c r="L159" s="1">
        <v>8</v>
      </c>
      <c r="M159" s="1">
        <v>9</v>
      </c>
      <c r="N159" s="1">
        <v>10</v>
      </c>
      <c r="O159" s="1">
        <v>11</v>
      </c>
      <c r="P159" s="1">
        <v>12</v>
      </c>
      <c r="Q159" s="1">
        <v>13</v>
      </c>
      <c r="R159" s="1">
        <v>14</v>
      </c>
      <c r="S159" s="1">
        <v>15</v>
      </c>
      <c r="T159" s="1">
        <v>16</v>
      </c>
      <c r="U159" s="1">
        <v>17</v>
      </c>
      <c r="V159" s="1">
        <v>18</v>
      </c>
      <c r="W159" s="1">
        <v>19</v>
      </c>
      <c r="X159" s="1">
        <v>20</v>
      </c>
    </row>
    <row r="160" spans="4:24" x14ac:dyDescent="0.2">
      <c r="D160" s="1" t="s">
        <v>11</v>
      </c>
      <c r="E160" s="1" t="s">
        <v>12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4:24" x14ac:dyDescent="0.2">
      <c r="D161" s="1">
        <v>141</v>
      </c>
      <c r="E161" s="2">
        <v>3.9083000000000001</v>
      </c>
      <c r="F161" s="2">
        <v>3.0602999999999998</v>
      </c>
      <c r="G161" s="2">
        <v>2.6688000000000001</v>
      </c>
      <c r="H161" s="2">
        <v>2.4359000000000002</v>
      </c>
      <c r="I161" s="2">
        <v>2.2784</v>
      </c>
      <c r="J161" s="2">
        <v>2.1634000000000002</v>
      </c>
      <c r="K161" s="2">
        <v>2.0750999999999999</v>
      </c>
      <c r="L161" s="2">
        <v>2.0045999999999999</v>
      </c>
      <c r="M161" s="2">
        <v>1.9469000000000001</v>
      </c>
      <c r="N161" s="2">
        <v>1.8984000000000001</v>
      </c>
      <c r="O161" s="2">
        <v>1.8571</v>
      </c>
      <c r="P161" s="2">
        <v>1.8213999999999999</v>
      </c>
      <c r="Q161" s="2">
        <v>1.7901</v>
      </c>
      <c r="R161" s="2">
        <v>1.7625</v>
      </c>
      <c r="S161" s="2">
        <v>1.7379</v>
      </c>
      <c r="T161" s="2">
        <v>1.7157</v>
      </c>
      <c r="U161" s="2">
        <v>1.6957</v>
      </c>
      <c r="V161" s="2">
        <v>1.6775</v>
      </c>
      <c r="W161" s="2">
        <v>1.6608000000000001</v>
      </c>
      <c r="X161" s="2">
        <v>1.6455</v>
      </c>
    </row>
    <row r="162" spans="4:24" x14ac:dyDescent="0.2">
      <c r="D162" s="1">
        <v>142</v>
      </c>
      <c r="E162" s="2">
        <v>3.9077999999999999</v>
      </c>
      <c r="F162" s="2">
        <v>3.0598000000000001</v>
      </c>
      <c r="G162" s="2">
        <v>2.6682999999999999</v>
      </c>
      <c r="H162" s="2">
        <v>2.4354</v>
      </c>
      <c r="I162" s="2">
        <v>2.2778999999999998</v>
      </c>
      <c r="J162" s="2">
        <v>2.1629999999999998</v>
      </c>
      <c r="K162" s="2">
        <v>2.0747</v>
      </c>
      <c r="L162" s="2">
        <v>2.0042</v>
      </c>
      <c r="M162" s="2">
        <v>1.9463999999999999</v>
      </c>
      <c r="N162" s="2">
        <v>1.8978999999999999</v>
      </c>
      <c r="O162" s="2">
        <v>1.8566</v>
      </c>
      <c r="P162" s="2">
        <v>1.8209</v>
      </c>
      <c r="Q162" s="2">
        <v>1.7897000000000001</v>
      </c>
      <c r="R162" s="2">
        <v>1.762</v>
      </c>
      <c r="S162" s="2">
        <v>1.7374000000000001</v>
      </c>
      <c r="T162" s="2">
        <v>1.7152000000000001</v>
      </c>
      <c r="U162" s="2">
        <v>1.6952</v>
      </c>
      <c r="V162" s="2">
        <v>1.6769000000000001</v>
      </c>
      <c r="W162" s="2">
        <v>1.6603000000000001</v>
      </c>
      <c r="X162" s="2">
        <v>1.645</v>
      </c>
    </row>
    <row r="163" spans="4:24" x14ac:dyDescent="0.2">
      <c r="D163" s="1">
        <v>143</v>
      </c>
      <c r="E163" s="2">
        <v>3.9073000000000002</v>
      </c>
      <c r="F163" s="2">
        <v>3.0594000000000001</v>
      </c>
      <c r="G163" s="2">
        <v>2.6678999999999999</v>
      </c>
      <c r="H163" s="2">
        <v>2.4350000000000001</v>
      </c>
      <c r="I163" s="2">
        <v>2.2774999999999999</v>
      </c>
      <c r="J163" s="2">
        <v>2.1625000000000001</v>
      </c>
      <c r="K163" s="2">
        <v>2.0741999999999998</v>
      </c>
      <c r="L163" s="2">
        <v>2.0036999999999998</v>
      </c>
      <c r="M163" s="2">
        <v>1.9459</v>
      </c>
      <c r="N163" s="2">
        <v>1.8975</v>
      </c>
      <c r="O163" s="2">
        <v>1.8562000000000001</v>
      </c>
      <c r="P163" s="2">
        <v>1.8204</v>
      </c>
      <c r="Q163" s="2">
        <v>1.7891999999999999</v>
      </c>
      <c r="R163" s="2">
        <v>1.7615000000000001</v>
      </c>
      <c r="S163" s="2">
        <v>1.7367999999999999</v>
      </c>
      <c r="T163" s="2">
        <v>1.7146999999999999</v>
      </c>
      <c r="U163" s="2">
        <v>1.6946000000000001</v>
      </c>
      <c r="V163" s="2">
        <v>1.6763999999999999</v>
      </c>
      <c r="W163" s="2">
        <v>1.6597999999999999</v>
      </c>
      <c r="X163" s="2">
        <v>1.6444000000000001</v>
      </c>
    </row>
    <row r="164" spans="4:24" x14ac:dyDescent="0.2">
      <c r="D164" s="1">
        <v>144</v>
      </c>
      <c r="E164" s="2">
        <v>3.9068000000000001</v>
      </c>
      <c r="F164" s="2">
        <v>3.0589</v>
      </c>
      <c r="G164" s="2">
        <v>2.6675</v>
      </c>
      <c r="H164" s="2">
        <v>2.4344999999999999</v>
      </c>
      <c r="I164" s="2">
        <v>2.2770000000000001</v>
      </c>
      <c r="J164" s="2">
        <v>2.1621000000000001</v>
      </c>
      <c r="K164" s="2">
        <v>2.0737000000000001</v>
      </c>
      <c r="L164" s="2">
        <v>2.0032999999999999</v>
      </c>
      <c r="M164" s="2">
        <v>1.9455</v>
      </c>
      <c r="N164" s="2">
        <v>1.897</v>
      </c>
      <c r="O164" s="2">
        <v>1.8556999999999999</v>
      </c>
      <c r="P164" s="2">
        <v>1.82</v>
      </c>
      <c r="Q164" s="2">
        <v>1.7887</v>
      </c>
      <c r="R164" s="2">
        <v>1.7609999999999999</v>
      </c>
      <c r="S164" s="2">
        <v>1.7363999999999999</v>
      </c>
      <c r="T164" s="2">
        <v>1.7141999999999999</v>
      </c>
      <c r="U164" s="2">
        <v>1.6940999999999999</v>
      </c>
      <c r="V164" s="2">
        <v>1.6758999999999999</v>
      </c>
      <c r="W164" s="2">
        <v>1.6592</v>
      </c>
      <c r="X164" s="2">
        <v>1.6438999999999999</v>
      </c>
    </row>
    <row r="165" spans="4:24" x14ac:dyDescent="0.2">
      <c r="D165" s="1">
        <v>145</v>
      </c>
      <c r="E165" s="2">
        <v>3.9064000000000001</v>
      </c>
      <c r="F165" s="2">
        <v>3.0585</v>
      </c>
      <c r="G165" s="2">
        <v>2.6669999999999998</v>
      </c>
      <c r="H165" s="2">
        <v>2.4340999999999999</v>
      </c>
      <c r="I165" s="2">
        <v>2.2766000000000002</v>
      </c>
      <c r="J165" s="2">
        <v>2.1617000000000002</v>
      </c>
      <c r="K165" s="2">
        <v>2.0733000000000001</v>
      </c>
      <c r="L165" s="2">
        <v>2.0028000000000001</v>
      </c>
      <c r="M165" s="2">
        <v>1.9450000000000001</v>
      </c>
      <c r="N165" s="2">
        <v>1.8965000000000001</v>
      </c>
      <c r="O165" s="2">
        <v>1.8552</v>
      </c>
      <c r="P165" s="2">
        <v>1.8194999999999999</v>
      </c>
      <c r="Q165" s="2">
        <v>1.7882</v>
      </c>
      <c r="R165" s="2">
        <v>1.7605</v>
      </c>
      <c r="S165" s="2">
        <v>1.7359</v>
      </c>
      <c r="T165" s="2">
        <v>1.7137</v>
      </c>
      <c r="U165" s="2">
        <v>1.6936</v>
      </c>
      <c r="V165" s="2">
        <v>1.6754</v>
      </c>
      <c r="W165" s="2">
        <v>1.6587000000000001</v>
      </c>
      <c r="X165" s="2">
        <v>1.6434</v>
      </c>
    </row>
    <row r="166" spans="4:24" x14ac:dyDescent="0.2">
      <c r="D166" s="1">
        <v>146</v>
      </c>
      <c r="E166" s="2">
        <v>3.9060000000000001</v>
      </c>
      <c r="F166" s="2">
        <v>3.0581</v>
      </c>
      <c r="G166" s="2">
        <v>2.6665999999999999</v>
      </c>
      <c r="H166" s="2">
        <v>2.4337</v>
      </c>
      <c r="I166" s="2">
        <v>2.2761999999999998</v>
      </c>
      <c r="J166" s="2">
        <v>2.1612</v>
      </c>
      <c r="K166" s="2">
        <v>2.0728</v>
      </c>
      <c r="L166" s="2">
        <v>2.0024000000000002</v>
      </c>
      <c r="M166" s="2">
        <v>1.9444999999999999</v>
      </c>
      <c r="N166" s="2">
        <v>1.8960999999999999</v>
      </c>
      <c r="O166" s="2">
        <v>1.8548</v>
      </c>
      <c r="P166" s="2">
        <v>1.819</v>
      </c>
      <c r="Q166" s="2">
        <v>1.7877000000000001</v>
      </c>
      <c r="R166" s="2">
        <v>1.7601</v>
      </c>
      <c r="S166" s="2">
        <v>1.7354000000000001</v>
      </c>
      <c r="T166" s="2">
        <v>1.7132000000000001</v>
      </c>
      <c r="U166" s="2">
        <v>1.6932</v>
      </c>
      <c r="V166" s="2">
        <v>1.6749000000000001</v>
      </c>
      <c r="W166" s="2">
        <v>1.6581999999999999</v>
      </c>
      <c r="X166" s="2">
        <v>1.6429</v>
      </c>
    </row>
    <row r="167" spans="4:24" x14ac:dyDescent="0.2">
      <c r="D167" s="1">
        <v>147</v>
      </c>
      <c r="E167" s="2">
        <v>3.9055</v>
      </c>
      <c r="F167" s="2">
        <v>3.0575999999999999</v>
      </c>
      <c r="G167" s="2">
        <v>2.6661999999999999</v>
      </c>
      <c r="H167" s="2">
        <v>2.4331999999999998</v>
      </c>
      <c r="I167" s="2">
        <v>2.2757999999999998</v>
      </c>
      <c r="J167" s="2">
        <v>2.1608000000000001</v>
      </c>
      <c r="K167" s="2">
        <v>2.0724</v>
      </c>
      <c r="L167" s="2">
        <v>2.0019</v>
      </c>
      <c r="M167" s="2">
        <v>1.9440999999999999</v>
      </c>
      <c r="N167" s="2">
        <v>1.8956</v>
      </c>
      <c r="O167" s="2">
        <v>1.8543000000000001</v>
      </c>
      <c r="P167" s="2">
        <v>1.8186</v>
      </c>
      <c r="Q167" s="2">
        <v>1.7873000000000001</v>
      </c>
      <c r="R167" s="2">
        <v>1.7596000000000001</v>
      </c>
      <c r="S167" s="2">
        <v>1.7349000000000001</v>
      </c>
      <c r="T167" s="2">
        <v>1.7126999999999999</v>
      </c>
      <c r="U167" s="2">
        <v>1.6927000000000001</v>
      </c>
      <c r="V167" s="2">
        <v>1.6744000000000001</v>
      </c>
      <c r="W167" s="2">
        <v>1.6577999999999999</v>
      </c>
      <c r="X167" s="2">
        <v>1.6424000000000001</v>
      </c>
    </row>
    <row r="168" spans="4:24" x14ac:dyDescent="0.2">
      <c r="D168" s="1">
        <v>148</v>
      </c>
      <c r="E168" s="2">
        <v>3.9051</v>
      </c>
      <c r="F168" s="2">
        <v>3.0571999999999999</v>
      </c>
      <c r="G168" s="2">
        <v>2.6657000000000002</v>
      </c>
      <c r="H168" s="2">
        <v>2.4327999999999999</v>
      </c>
      <c r="I168" s="2">
        <v>2.2753000000000001</v>
      </c>
      <c r="J168" s="2">
        <v>2.1604000000000001</v>
      </c>
      <c r="K168" s="2">
        <v>2.0720000000000001</v>
      </c>
      <c r="L168" s="2">
        <v>2.0015000000000001</v>
      </c>
      <c r="M168" s="2">
        <v>1.9437</v>
      </c>
      <c r="N168" s="2">
        <v>1.8952</v>
      </c>
      <c r="O168" s="2">
        <v>1.8539000000000001</v>
      </c>
      <c r="P168" s="2">
        <v>1.8181</v>
      </c>
      <c r="Q168" s="2">
        <v>1.7867999999999999</v>
      </c>
      <c r="R168" s="2">
        <v>1.7591000000000001</v>
      </c>
      <c r="S168" s="2">
        <v>1.7343999999999999</v>
      </c>
      <c r="T168" s="2">
        <v>1.7122999999999999</v>
      </c>
      <c r="U168" s="2">
        <v>1.6921999999999999</v>
      </c>
      <c r="V168" s="2">
        <v>1.6738999999999999</v>
      </c>
      <c r="W168" s="2">
        <v>1.6573</v>
      </c>
      <c r="X168" s="2">
        <v>1.6418999999999999</v>
      </c>
    </row>
    <row r="169" spans="4:24" x14ac:dyDescent="0.2">
      <c r="D169" s="1">
        <v>149</v>
      </c>
      <c r="E169" s="2">
        <v>3.9045999999999998</v>
      </c>
      <c r="F169" s="2">
        <v>3.0568</v>
      </c>
      <c r="G169" s="2">
        <v>2.6652999999999998</v>
      </c>
      <c r="H169" s="2">
        <v>2.4323999999999999</v>
      </c>
      <c r="I169" s="2">
        <v>2.2749000000000001</v>
      </c>
      <c r="J169" s="2">
        <v>2.1598999999999999</v>
      </c>
      <c r="K169" s="2">
        <v>2.0716000000000001</v>
      </c>
      <c r="L169" s="2">
        <v>2.0011000000000001</v>
      </c>
      <c r="M169" s="2">
        <v>1.9432</v>
      </c>
      <c r="N169" s="2">
        <v>1.8947000000000001</v>
      </c>
      <c r="O169" s="2">
        <v>1.8533999999999999</v>
      </c>
      <c r="P169" s="2">
        <v>1.8177000000000001</v>
      </c>
      <c r="Q169" s="2">
        <v>1.7864</v>
      </c>
      <c r="R169" s="2">
        <v>1.7586999999999999</v>
      </c>
      <c r="S169" s="2">
        <v>1.734</v>
      </c>
      <c r="T169" s="2">
        <v>1.7118</v>
      </c>
      <c r="U169" s="2">
        <v>1.6917</v>
      </c>
      <c r="V169" s="2">
        <v>1.6735</v>
      </c>
      <c r="W169" s="2">
        <v>1.6568000000000001</v>
      </c>
      <c r="X169" s="2">
        <v>1.6414</v>
      </c>
    </row>
    <row r="170" spans="4:24" x14ac:dyDescent="0.2">
      <c r="D170" s="1">
        <v>150</v>
      </c>
      <c r="E170" s="2">
        <v>3.9041999999999999</v>
      </c>
      <c r="F170" s="2">
        <v>3.0564</v>
      </c>
      <c r="G170" s="2">
        <v>2.6648999999999998</v>
      </c>
      <c r="H170" s="2">
        <v>2.4319000000000002</v>
      </c>
      <c r="I170" s="2">
        <v>2.2745000000000002</v>
      </c>
      <c r="J170" s="2">
        <v>2.1595</v>
      </c>
      <c r="K170" s="2">
        <v>2.0710999999999999</v>
      </c>
      <c r="L170" s="2">
        <v>2.0005999999999999</v>
      </c>
      <c r="M170" s="2">
        <v>1.9428000000000001</v>
      </c>
      <c r="N170" s="2">
        <v>1.8943000000000001</v>
      </c>
      <c r="O170" s="2">
        <v>1.853</v>
      </c>
      <c r="P170" s="2">
        <v>1.8171999999999999</v>
      </c>
      <c r="Q170" s="2">
        <v>1.7859</v>
      </c>
      <c r="R170" s="2">
        <v>1.7582</v>
      </c>
      <c r="S170" s="2">
        <v>1.7335</v>
      </c>
      <c r="T170" s="2">
        <v>1.7113</v>
      </c>
      <c r="U170" s="2">
        <v>1.6913</v>
      </c>
      <c r="V170" s="2">
        <v>1.673</v>
      </c>
      <c r="W170" s="2">
        <v>1.6563000000000001</v>
      </c>
      <c r="X170" s="2">
        <v>1.641</v>
      </c>
    </row>
    <row r="171" spans="4:24" x14ac:dyDescent="0.2">
      <c r="D171" s="1">
        <v>151</v>
      </c>
      <c r="E171" s="2">
        <v>3.9037999999999999</v>
      </c>
      <c r="F171" s="2">
        <v>3.056</v>
      </c>
      <c r="G171" s="2">
        <v>2.6644999999999999</v>
      </c>
      <c r="H171" s="2">
        <v>2.4315000000000002</v>
      </c>
      <c r="I171" s="2">
        <v>2.2740999999999998</v>
      </c>
      <c r="J171" s="2">
        <v>2.1591</v>
      </c>
      <c r="K171" s="2">
        <v>2.0707</v>
      </c>
      <c r="L171" s="2">
        <v>2.0002</v>
      </c>
      <c r="M171" s="2">
        <v>1.9423999999999999</v>
      </c>
      <c r="N171" s="2">
        <v>1.8938999999999999</v>
      </c>
      <c r="O171" s="2">
        <v>1.8526</v>
      </c>
      <c r="P171" s="2">
        <v>1.8168</v>
      </c>
      <c r="Q171" s="2">
        <v>1.7855000000000001</v>
      </c>
      <c r="R171" s="2">
        <v>1.7578</v>
      </c>
      <c r="S171" s="2">
        <v>1.7331000000000001</v>
      </c>
      <c r="T171" s="2">
        <v>1.7109000000000001</v>
      </c>
      <c r="U171" s="2">
        <v>1.6908000000000001</v>
      </c>
      <c r="V171" s="2">
        <v>1.6726000000000001</v>
      </c>
      <c r="W171" s="2">
        <v>1.6557999999999999</v>
      </c>
      <c r="X171" s="2">
        <v>1.6405000000000001</v>
      </c>
    </row>
    <row r="172" spans="4:24" x14ac:dyDescent="0.2">
      <c r="D172" s="1">
        <v>152</v>
      </c>
      <c r="E172" s="2">
        <v>3.9033000000000002</v>
      </c>
      <c r="F172" s="2">
        <v>3.0554999999999999</v>
      </c>
      <c r="G172" s="2">
        <v>2.6640999999999999</v>
      </c>
      <c r="H172" s="2">
        <v>2.4312</v>
      </c>
      <c r="I172" s="2">
        <v>2.2736999999999998</v>
      </c>
      <c r="J172" s="2">
        <v>2.1587000000000001</v>
      </c>
      <c r="K172" s="2">
        <v>2.0703</v>
      </c>
      <c r="L172" s="2">
        <v>1.9998</v>
      </c>
      <c r="M172" s="2">
        <v>1.9419999999999999</v>
      </c>
      <c r="N172" s="2">
        <v>1.8935</v>
      </c>
      <c r="O172" s="2">
        <v>1.8521000000000001</v>
      </c>
      <c r="P172" s="2">
        <v>1.8163</v>
      </c>
      <c r="Q172" s="2">
        <v>1.7849999999999999</v>
      </c>
      <c r="R172" s="2">
        <v>1.7573000000000001</v>
      </c>
      <c r="S172" s="2">
        <v>1.7325999999999999</v>
      </c>
      <c r="T172" s="2">
        <v>1.7103999999999999</v>
      </c>
      <c r="U172" s="2">
        <v>1.6903999999999999</v>
      </c>
      <c r="V172" s="2">
        <v>1.6720999999999999</v>
      </c>
      <c r="W172" s="2">
        <v>1.6554</v>
      </c>
      <c r="X172" s="2">
        <v>1.64</v>
      </c>
    </row>
    <row r="173" spans="4:24" x14ac:dyDescent="0.2">
      <c r="D173" s="1">
        <v>153</v>
      </c>
      <c r="E173" s="2">
        <v>3.903</v>
      </c>
      <c r="F173" s="2">
        <v>3.0552000000000001</v>
      </c>
      <c r="G173" s="2">
        <v>2.6637</v>
      </c>
      <c r="H173" s="2">
        <v>2.4308000000000001</v>
      </c>
      <c r="I173" s="2">
        <v>2.2732999999999999</v>
      </c>
      <c r="J173" s="2">
        <v>2.1583000000000001</v>
      </c>
      <c r="K173" s="2">
        <v>2.0699000000000001</v>
      </c>
      <c r="L173" s="2">
        <v>1.9994000000000001</v>
      </c>
      <c r="M173" s="2">
        <v>1.9416</v>
      </c>
      <c r="N173" s="2">
        <v>1.8931</v>
      </c>
      <c r="O173" s="2">
        <v>1.8516999999999999</v>
      </c>
      <c r="P173" s="2">
        <v>1.8159000000000001</v>
      </c>
      <c r="Q173" s="2">
        <v>1.7846</v>
      </c>
      <c r="R173" s="2">
        <v>1.7568999999999999</v>
      </c>
      <c r="S173" s="2">
        <v>1.7322</v>
      </c>
      <c r="T173" s="2">
        <v>1.71</v>
      </c>
      <c r="U173" s="2">
        <v>1.6899</v>
      </c>
      <c r="V173" s="2">
        <v>1.6717</v>
      </c>
      <c r="W173" s="2">
        <v>1.6549</v>
      </c>
      <c r="X173" s="2">
        <v>1.6395999999999999</v>
      </c>
    </row>
    <row r="174" spans="4:24" x14ac:dyDescent="0.2">
      <c r="D174" s="1">
        <v>154</v>
      </c>
      <c r="E174" s="2">
        <v>3.9026000000000001</v>
      </c>
      <c r="F174" s="2">
        <v>3.0548000000000002</v>
      </c>
      <c r="G174" s="2">
        <v>2.6634000000000002</v>
      </c>
      <c r="H174" s="2">
        <v>2.4304000000000001</v>
      </c>
      <c r="I174" s="2">
        <v>2.2728999999999999</v>
      </c>
      <c r="J174" s="2">
        <v>2.1579000000000002</v>
      </c>
      <c r="K174" s="2">
        <v>2.0695000000000001</v>
      </c>
      <c r="L174" s="2">
        <v>1.9990000000000001</v>
      </c>
      <c r="M174" s="2">
        <v>1.9412</v>
      </c>
      <c r="N174" s="2">
        <v>1.8926000000000001</v>
      </c>
      <c r="O174" s="2">
        <v>1.8512999999999999</v>
      </c>
      <c r="P174" s="2">
        <v>1.8154999999999999</v>
      </c>
      <c r="Q174" s="2">
        <v>1.7842</v>
      </c>
      <c r="R174" s="2">
        <v>1.7565</v>
      </c>
      <c r="S174" s="2">
        <v>1.7318</v>
      </c>
      <c r="T174" s="2">
        <v>1.7096</v>
      </c>
      <c r="U174" s="2">
        <v>1.6895</v>
      </c>
      <c r="V174" s="2">
        <v>1.6712</v>
      </c>
      <c r="W174" s="2">
        <v>1.6545000000000001</v>
      </c>
      <c r="X174" s="2">
        <v>1.6391</v>
      </c>
    </row>
    <row r="175" spans="4:24" x14ac:dyDescent="0.2">
      <c r="D175" s="1">
        <v>155</v>
      </c>
      <c r="E175" s="2">
        <v>3.9020999999999999</v>
      </c>
      <c r="F175" s="2">
        <v>3.0543999999999998</v>
      </c>
      <c r="G175" s="2">
        <v>2.6629</v>
      </c>
      <c r="H175" s="2">
        <v>2.4300000000000002</v>
      </c>
      <c r="I175" s="2">
        <v>2.2725</v>
      </c>
      <c r="J175" s="2">
        <v>2.1575000000000002</v>
      </c>
      <c r="K175" s="2">
        <v>2.0691000000000002</v>
      </c>
      <c r="L175" s="2">
        <v>1.9985999999999999</v>
      </c>
      <c r="M175" s="2">
        <v>1.9407000000000001</v>
      </c>
      <c r="N175" s="2">
        <v>1.8923000000000001</v>
      </c>
      <c r="O175" s="2">
        <v>1.8509</v>
      </c>
      <c r="P175" s="2">
        <v>1.8150999999999999</v>
      </c>
      <c r="Q175" s="2">
        <v>1.7838000000000001</v>
      </c>
      <c r="R175" s="2">
        <v>1.7561</v>
      </c>
      <c r="S175" s="2">
        <v>1.7314000000000001</v>
      </c>
      <c r="T175" s="2">
        <v>1.7091000000000001</v>
      </c>
      <c r="U175" s="2">
        <v>1.6891</v>
      </c>
      <c r="V175" s="2">
        <v>1.6708000000000001</v>
      </c>
      <c r="W175" s="2">
        <v>1.6539999999999999</v>
      </c>
      <c r="X175" s="2">
        <v>1.6387</v>
      </c>
    </row>
    <row r="176" spans="4:24" x14ac:dyDescent="0.2">
      <c r="D176" s="1">
        <v>156</v>
      </c>
      <c r="E176" s="2">
        <v>3.9018000000000002</v>
      </c>
      <c r="F176" s="2">
        <v>3.0539999999999998</v>
      </c>
      <c r="G176" s="2">
        <v>2.6625999999999999</v>
      </c>
      <c r="H176" s="2">
        <v>2.4296000000000002</v>
      </c>
      <c r="I176" s="2">
        <v>2.2722000000000002</v>
      </c>
      <c r="J176" s="2">
        <v>2.1570999999999998</v>
      </c>
      <c r="K176" s="2">
        <v>2.0687000000000002</v>
      </c>
      <c r="L176" s="2">
        <v>1.9982</v>
      </c>
      <c r="M176" s="2">
        <v>1.9402999999999999</v>
      </c>
      <c r="N176" s="2">
        <v>1.8917999999999999</v>
      </c>
      <c r="O176" s="2">
        <v>1.8505</v>
      </c>
      <c r="P176" s="2">
        <v>1.8147</v>
      </c>
      <c r="Q176" s="2">
        <v>1.7834000000000001</v>
      </c>
      <c r="R176" s="2">
        <v>1.7557</v>
      </c>
      <c r="S176" s="2">
        <v>1.7309000000000001</v>
      </c>
      <c r="T176" s="2">
        <v>1.7087000000000001</v>
      </c>
      <c r="U176" s="2">
        <v>1.6886000000000001</v>
      </c>
      <c r="V176" s="2">
        <v>1.6702999999999999</v>
      </c>
      <c r="W176" s="2">
        <v>1.6536</v>
      </c>
      <c r="X176" s="2">
        <v>1.6383000000000001</v>
      </c>
    </row>
    <row r="177" spans="4:24" x14ac:dyDescent="0.2">
      <c r="D177" s="1">
        <v>157</v>
      </c>
      <c r="E177" s="2">
        <v>3.9014000000000002</v>
      </c>
      <c r="F177" s="2">
        <v>3.0537000000000001</v>
      </c>
      <c r="G177" s="2">
        <v>2.6621999999999999</v>
      </c>
      <c r="H177" s="2">
        <v>2.4293</v>
      </c>
      <c r="I177" s="2">
        <v>2.2717000000000001</v>
      </c>
      <c r="J177" s="2">
        <v>2.1568000000000001</v>
      </c>
      <c r="K177" s="2">
        <v>2.0684</v>
      </c>
      <c r="L177" s="2">
        <v>1.9978</v>
      </c>
      <c r="M177" s="2">
        <v>1.94</v>
      </c>
      <c r="N177" s="2">
        <v>1.8915</v>
      </c>
      <c r="O177" s="2">
        <v>1.8501000000000001</v>
      </c>
      <c r="P177" s="2">
        <v>1.8143</v>
      </c>
      <c r="Q177" s="2">
        <v>1.7828999999999999</v>
      </c>
      <c r="R177" s="2">
        <v>1.7552000000000001</v>
      </c>
      <c r="S177" s="2">
        <v>1.7304999999999999</v>
      </c>
      <c r="T177" s="2">
        <v>1.7082999999999999</v>
      </c>
      <c r="U177" s="2">
        <v>1.6881999999999999</v>
      </c>
      <c r="V177" s="2">
        <v>1.6698999999999999</v>
      </c>
      <c r="W177" s="2">
        <v>1.6532</v>
      </c>
      <c r="X177" s="2">
        <v>1.6377999999999999</v>
      </c>
    </row>
    <row r="178" spans="4:24" x14ac:dyDescent="0.2">
      <c r="D178" s="1">
        <v>158</v>
      </c>
      <c r="E178" s="2">
        <v>3.9009999999999998</v>
      </c>
      <c r="F178" s="2">
        <v>3.0533000000000001</v>
      </c>
      <c r="G178" s="2">
        <v>2.6617999999999999</v>
      </c>
      <c r="H178" s="2">
        <v>2.4289000000000001</v>
      </c>
      <c r="I178" s="2">
        <v>2.2713999999999999</v>
      </c>
      <c r="J178" s="2">
        <v>2.1564000000000001</v>
      </c>
      <c r="K178" s="2">
        <v>2.0680000000000001</v>
      </c>
      <c r="L178" s="2">
        <v>1.9974000000000001</v>
      </c>
      <c r="M178" s="2">
        <v>1.9396</v>
      </c>
      <c r="N178" s="2">
        <v>1.8911</v>
      </c>
      <c r="O178" s="2">
        <v>1.8496999999999999</v>
      </c>
      <c r="P178" s="2">
        <v>1.8139000000000001</v>
      </c>
      <c r="Q178" s="2">
        <v>1.7826</v>
      </c>
      <c r="R178" s="2">
        <v>1.7547999999999999</v>
      </c>
      <c r="S178" s="2">
        <v>1.7301</v>
      </c>
      <c r="T178" s="2">
        <v>1.7079</v>
      </c>
      <c r="U178" s="2">
        <v>1.6878</v>
      </c>
      <c r="V178" s="2">
        <v>1.6695</v>
      </c>
      <c r="W178" s="2">
        <v>1.6528</v>
      </c>
      <c r="X178" s="2">
        <v>1.6374</v>
      </c>
    </row>
    <row r="179" spans="4:24" x14ac:dyDescent="0.2">
      <c r="D179" s="1">
        <v>159</v>
      </c>
      <c r="E179" s="2">
        <v>3.9005999999999998</v>
      </c>
      <c r="F179" s="2">
        <v>3.0529000000000002</v>
      </c>
      <c r="G179" s="2">
        <v>2.6615000000000002</v>
      </c>
      <c r="H179" s="2">
        <v>2.4285000000000001</v>
      </c>
      <c r="I179" s="2">
        <v>2.2709999999999999</v>
      </c>
      <c r="J179" s="2">
        <v>2.1560000000000001</v>
      </c>
      <c r="K179" s="2">
        <v>2.0676000000000001</v>
      </c>
      <c r="L179" s="2">
        <v>1.9970000000000001</v>
      </c>
      <c r="M179" s="2">
        <v>1.9392</v>
      </c>
      <c r="N179" s="2">
        <v>1.8907</v>
      </c>
      <c r="O179" s="2">
        <v>1.8492999999999999</v>
      </c>
      <c r="P179" s="2">
        <v>1.8134999999999999</v>
      </c>
      <c r="Q179" s="2">
        <v>1.7822</v>
      </c>
      <c r="R179" s="2">
        <v>1.7544</v>
      </c>
      <c r="S179" s="2">
        <v>1.7297</v>
      </c>
      <c r="T179" s="2">
        <v>1.7075</v>
      </c>
      <c r="U179" s="2">
        <v>1.6874</v>
      </c>
      <c r="V179" s="2">
        <v>1.6691</v>
      </c>
      <c r="W179" s="2">
        <v>1.6524000000000001</v>
      </c>
      <c r="X179" s="2">
        <v>1.637</v>
      </c>
    </row>
    <row r="180" spans="4:24" x14ac:dyDescent="0.2">
      <c r="D180" s="1">
        <v>160</v>
      </c>
      <c r="E180" s="2">
        <v>3.9001999999999999</v>
      </c>
      <c r="F180" s="2">
        <v>3.0525000000000002</v>
      </c>
      <c r="G180" s="2">
        <v>2.6610999999999998</v>
      </c>
      <c r="H180" s="2">
        <v>2.4281999999999999</v>
      </c>
      <c r="I180" s="2">
        <v>2.2706</v>
      </c>
      <c r="J180" s="2">
        <v>2.1556000000000002</v>
      </c>
      <c r="K180" s="2">
        <v>2.0672000000000001</v>
      </c>
      <c r="L180" s="2">
        <v>1.9966999999999999</v>
      </c>
      <c r="M180" s="2">
        <v>1.9388000000000001</v>
      </c>
      <c r="N180" s="2">
        <v>1.8903000000000001</v>
      </c>
      <c r="O180" s="2">
        <v>1.8489</v>
      </c>
      <c r="P180" s="2">
        <v>1.8130999999999999</v>
      </c>
      <c r="Q180" s="2">
        <v>1.7818000000000001</v>
      </c>
      <c r="R180" s="2">
        <v>1.754</v>
      </c>
      <c r="S180" s="2">
        <v>1.7293000000000001</v>
      </c>
      <c r="T180" s="2">
        <v>1.7071000000000001</v>
      </c>
      <c r="U180" s="2">
        <v>1.6870000000000001</v>
      </c>
      <c r="V180" s="2">
        <v>1.6687000000000001</v>
      </c>
      <c r="W180" s="2">
        <v>1.6518999999999999</v>
      </c>
      <c r="X180" s="2">
        <v>1.6366000000000001</v>
      </c>
    </row>
    <row r="181" spans="4:24" x14ac:dyDescent="0.2">
      <c r="D181" s="1" t="s">
        <v>10</v>
      </c>
      <c r="E181" s="1">
        <v>1</v>
      </c>
      <c r="F181" s="1">
        <v>2</v>
      </c>
      <c r="G181" s="1">
        <v>3</v>
      </c>
      <c r="H181" s="1">
        <v>4</v>
      </c>
      <c r="I181" s="1">
        <v>5</v>
      </c>
      <c r="J181" s="1">
        <v>6</v>
      </c>
      <c r="K181" s="1">
        <v>7</v>
      </c>
      <c r="L181" s="1">
        <v>8</v>
      </c>
      <c r="M181" s="1">
        <v>9</v>
      </c>
      <c r="N181" s="1">
        <v>10</v>
      </c>
      <c r="O181" s="1">
        <v>11</v>
      </c>
      <c r="P181" s="1">
        <v>12</v>
      </c>
      <c r="Q181" s="1">
        <v>13</v>
      </c>
      <c r="R181" s="1">
        <v>14</v>
      </c>
      <c r="S181" s="1">
        <v>15</v>
      </c>
      <c r="T181" s="1">
        <v>16</v>
      </c>
      <c r="U181" s="1">
        <v>17</v>
      </c>
      <c r="V181" s="1">
        <v>18</v>
      </c>
      <c r="W181" s="1">
        <v>19</v>
      </c>
      <c r="X181" s="1">
        <v>20</v>
      </c>
    </row>
    <row r="182" spans="4:24" x14ac:dyDescent="0.2">
      <c r="D182" s="1" t="s">
        <v>11</v>
      </c>
      <c r="E182" s="1" t="s">
        <v>12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4:24" x14ac:dyDescent="0.2">
      <c r="D183" s="1">
        <v>161</v>
      </c>
      <c r="E183" s="2">
        <v>3.8997999999999999</v>
      </c>
      <c r="F183" s="2">
        <v>3.0522</v>
      </c>
      <c r="G183" s="2">
        <v>2.6606999999999998</v>
      </c>
      <c r="H183" s="2">
        <v>2.4278</v>
      </c>
      <c r="I183" s="2">
        <v>2.2703000000000002</v>
      </c>
      <c r="J183" s="2">
        <v>2.1553</v>
      </c>
      <c r="K183" s="2">
        <v>2.0669</v>
      </c>
      <c r="L183" s="2">
        <v>1.9963</v>
      </c>
      <c r="M183" s="2">
        <v>1.9384999999999999</v>
      </c>
      <c r="N183" s="2">
        <v>1.8898999999999999</v>
      </c>
      <c r="O183" s="2">
        <v>1.8485</v>
      </c>
      <c r="P183" s="2">
        <v>1.8127</v>
      </c>
      <c r="Q183" s="2">
        <v>1.7814000000000001</v>
      </c>
      <c r="R183" s="2">
        <v>1.7537</v>
      </c>
      <c r="S183" s="2">
        <v>1.7289000000000001</v>
      </c>
      <c r="T183" s="2">
        <v>1.7067000000000001</v>
      </c>
      <c r="U183" s="2">
        <v>1.6866000000000001</v>
      </c>
      <c r="V183" s="2">
        <v>1.6682999999999999</v>
      </c>
      <c r="W183" s="2">
        <v>1.6515</v>
      </c>
      <c r="X183" s="2">
        <v>1.6361000000000001</v>
      </c>
    </row>
    <row r="184" spans="4:24" x14ac:dyDescent="0.2">
      <c r="D184" s="1">
        <v>162</v>
      </c>
      <c r="E184" s="2">
        <v>3.8995000000000002</v>
      </c>
      <c r="F184" s="2">
        <v>3.0518000000000001</v>
      </c>
      <c r="G184" s="2">
        <v>2.6604000000000001</v>
      </c>
      <c r="H184" s="2">
        <v>2.4275000000000002</v>
      </c>
      <c r="I184" s="2">
        <v>2.27</v>
      </c>
      <c r="J184" s="2">
        <v>2.1549999999999998</v>
      </c>
      <c r="K184" s="2">
        <v>2.0665</v>
      </c>
      <c r="L184" s="2">
        <v>1.9959</v>
      </c>
      <c r="M184" s="2">
        <v>1.9380999999999999</v>
      </c>
      <c r="N184" s="2">
        <v>1.8895</v>
      </c>
      <c r="O184" s="2">
        <v>1.8482000000000001</v>
      </c>
      <c r="P184" s="2">
        <v>1.8124</v>
      </c>
      <c r="Q184" s="2">
        <v>1.7809999999999999</v>
      </c>
      <c r="R184" s="2">
        <v>1.7533000000000001</v>
      </c>
      <c r="S184" s="2">
        <v>1.7284999999999999</v>
      </c>
      <c r="T184" s="2">
        <v>1.7062999999999999</v>
      </c>
      <c r="U184" s="2">
        <v>1.6861999999999999</v>
      </c>
      <c r="V184" s="2">
        <v>1.6678999999999999</v>
      </c>
      <c r="W184" s="2">
        <v>1.6511</v>
      </c>
      <c r="X184" s="2">
        <v>1.6356999999999999</v>
      </c>
    </row>
    <row r="185" spans="4:24" x14ac:dyDescent="0.2">
      <c r="D185" s="1">
        <v>163</v>
      </c>
      <c r="E185" s="2">
        <v>3.8990999999999998</v>
      </c>
      <c r="F185" s="2">
        <v>3.0514999999999999</v>
      </c>
      <c r="G185" s="2">
        <v>2.6600999999999999</v>
      </c>
      <c r="H185" s="2">
        <v>2.4270999999999998</v>
      </c>
      <c r="I185" s="2">
        <v>2.2696000000000001</v>
      </c>
      <c r="J185" s="2">
        <v>2.1545999999999998</v>
      </c>
      <c r="K185" s="2">
        <v>2.0661999999999998</v>
      </c>
      <c r="L185" s="2">
        <v>1.9956</v>
      </c>
      <c r="M185" s="2">
        <v>1.9377</v>
      </c>
      <c r="N185" s="2">
        <v>1.8892</v>
      </c>
      <c r="O185" s="2">
        <v>1.8478000000000001</v>
      </c>
      <c r="P185" s="2">
        <v>1.8120000000000001</v>
      </c>
      <c r="Q185" s="2">
        <v>1.7806</v>
      </c>
      <c r="R185" s="2">
        <v>1.7528999999999999</v>
      </c>
      <c r="S185" s="2">
        <v>1.7282</v>
      </c>
      <c r="T185" s="2">
        <v>1.7059</v>
      </c>
      <c r="U185" s="2">
        <v>1.6858</v>
      </c>
      <c r="V185" s="2">
        <v>1.6675</v>
      </c>
      <c r="W185" s="2">
        <v>1.6507000000000001</v>
      </c>
      <c r="X185" s="2">
        <v>1.6353</v>
      </c>
    </row>
    <row r="186" spans="4:24" x14ac:dyDescent="0.2">
      <c r="D186" s="1">
        <v>164</v>
      </c>
      <c r="E186" s="2">
        <v>3.8986999999999998</v>
      </c>
      <c r="F186" s="2">
        <v>3.0512000000000001</v>
      </c>
      <c r="G186" s="2">
        <v>2.6597</v>
      </c>
      <c r="H186" s="2">
        <v>2.4268000000000001</v>
      </c>
      <c r="I186" s="2">
        <v>2.2692999999999999</v>
      </c>
      <c r="J186" s="2">
        <v>2.1541999999999999</v>
      </c>
      <c r="K186" s="2">
        <v>2.0657999999999999</v>
      </c>
      <c r="L186" s="2">
        <v>1.9953000000000001</v>
      </c>
      <c r="M186" s="2">
        <v>1.9374</v>
      </c>
      <c r="N186" s="2">
        <v>1.8888</v>
      </c>
      <c r="O186" s="2">
        <v>1.8473999999999999</v>
      </c>
      <c r="P186" s="2">
        <v>1.8116000000000001</v>
      </c>
      <c r="Q186" s="2">
        <v>1.7803</v>
      </c>
      <c r="R186" s="2">
        <v>1.7524999999999999</v>
      </c>
      <c r="S186" s="2">
        <v>1.7278</v>
      </c>
      <c r="T186" s="2">
        <v>1.7055</v>
      </c>
      <c r="U186" s="2">
        <v>1.6854</v>
      </c>
      <c r="V186" s="2">
        <v>1.6671</v>
      </c>
      <c r="W186" s="2">
        <v>1.6503000000000001</v>
      </c>
      <c r="X186" s="2">
        <v>1.6349</v>
      </c>
    </row>
    <row r="187" spans="4:24" x14ac:dyDescent="0.2">
      <c r="D187" s="1">
        <v>165</v>
      </c>
      <c r="E187" s="2">
        <v>3.8984999999999999</v>
      </c>
      <c r="F187" s="2">
        <v>3.0508000000000002</v>
      </c>
      <c r="G187" s="2">
        <v>2.6594000000000002</v>
      </c>
      <c r="H187" s="2">
        <v>2.4264000000000001</v>
      </c>
      <c r="I187" s="2">
        <v>2.2688999999999999</v>
      </c>
      <c r="J187" s="2">
        <v>2.1539000000000001</v>
      </c>
      <c r="K187" s="2">
        <v>2.0655000000000001</v>
      </c>
      <c r="L187" s="2">
        <v>1.9948999999999999</v>
      </c>
      <c r="M187" s="2">
        <v>1.9370000000000001</v>
      </c>
      <c r="N187" s="2">
        <v>1.8885000000000001</v>
      </c>
      <c r="O187" s="2">
        <v>1.8471</v>
      </c>
      <c r="P187" s="2">
        <v>1.8111999999999999</v>
      </c>
      <c r="Q187" s="2">
        <v>1.7799</v>
      </c>
      <c r="R187" s="2">
        <v>1.7522</v>
      </c>
      <c r="S187" s="2">
        <v>1.7274</v>
      </c>
      <c r="T187" s="2">
        <v>1.7052</v>
      </c>
      <c r="U187" s="2">
        <v>1.6850000000000001</v>
      </c>
      <c r="V187" s="2">
        <v>1.6667000000000001</v>
      </c>
      <c r="W187" s="2">
        <v>1.6498999999999999</v>
      </c>
      <c r="X187" s="2">
        <v>1.6345000000000001</v>
      </c>
    </row>
    <row r="188" spans="4:24" x14ac:dyDescent="0.2">
      <c r="D188" s="1">
        <v>166</v>
      </c>
      <c r="E188" s="2">
        <v>3.8980999999999999</v>
      </c>
      <c r="F188" s="2">
        <v>3.0505</v>
      </c>
      <c r="G188" s="2">
        <v>2.6591</v>
      </c>
      <c r="H188" s="2">
        <v>2.4260999999999999</v>
      </c>
      <c r="I188" s="2">
        <v>2.2686000000000002</v>
      </c>
      <c r="J188" s="2">
        <v>2.1536</v>
      </c>
      <c r="K188" s="2">
        <v>2.0651000000000002</v>
      </c>
      <c r="L188" s="2">
        <v>1.9944999999999999</v>
      </c>
      <c r="M188" s="2">
        <v>1.9367000000000001</v>
      </c>
      <c r="N188" s="2">
        <v>1.8880999999999999</v>
      </c>
      <c r="O188" s="2">
        <v>1.8467</v>
      </c>
      <c r="P188" s="2">
        <v>1.8109</v>
      </c>
      <c r="Q188" s="2">
        <v>1.7795000000000001</v>
      </c>
      <c r="R188" s="2">
        <v>1.7518</v>
      </c>
      <c r="S188" s="2">
        <v>1.7270000000000001</v>
      </c>
      <c r="T188" s="2">
        <v>1.7048000000000001</v>
      </c>
      <c r="U188" s="2">
        <v>1.6846000000000001</v>
      </c>
      <c r="V188" s="2">
        <v>1.6662999999999999</v>
      </c>
      <c r="W188" s="2">
        <v>1.6496</v>
      </c>
      <c r="X188" s="2">
        <v>1.6341000000000001</v>
      </c>
    </row>
    <row r="189" spans="4:24" x14ac:dyDescent="0.2">
      <c r="D189" s="1">
        <v>167</v>
      </c>
      <c r="E189" s="2">
        <v>3.8976999999999999</v>
      </c>
      <c r="F189" s="2">
        <v>3.0501999999999998</v>
      </c>
      <c r="G189" s="2">
        <v>2.6587000000000001</v>
      </c>
      <c r="H189" s="2">
        <v>2.4258000000000002</v>
      </c>
      <c r="I189" s="2">
        <v>2.2683</v>
      </c>
      <c r="J189" s="2">
        <v>2.1533000000000002</v>
      </c>
      <c r="K189" s="2">
        <v>2.0648</v>
      </c>
      <c r="L189" s="2">
        <v>1.9942</v>
      </c>
      <c r="M189" s="2">
        <v>1.9362999999999999</v>
      </c>
      <c r="N189" s="2">
        <v>1.8877999999999999</v>
      </c>
      <c r="O189" s="2">
        <v>1.8464</v>
      </c>
      <c r="P189" s="2">
        <v>1.8105</v>
      </c>
      <c r="Q189" s="2">
        <v>1.7791999999999999</v>
      </c>
      <c r="R189" s="2">
        <v>1.7514000000000001</v>
      </c>
      <c r="S189" s="2">
        <v>1.7265999999999999</v>
      </c>
      <c r="T189" s="2">
        <v>1.7043999999999999</v>
      </c>
      <c r="U189" s="2">
        <v>1.6842999999999999</v>
      </c>
      <c r="V189" s="2">
        <v>1.6658999999999999</v>
      </c>
      <c r="W189" s="2">
        <v>1.6492</v>
      </c>
      <c r="X189" s="2">
        <v>1.6337999999999999</v>
      </c>
    </row>
    <row r="190" spans="4:24" x14ac:dyDescent="0.2">
      <c r="D190" s="1">
        <v>168</v>
      </c>
      <c r="E190" s="2">
        <v>3.8974000000000002</v>
      </c>
      <c r="F190" s="2">
        <v>3.0497999999999998</v>
      </c>
      <c r="G190" s="2">
        <v>2.6583999999999999</v>
      </c>
      <c r="H190" s="2">
        <v>2.4253999999999998</v>
      </c>
      <c r="I190" s="2">
        <v>2.2679999999999998</v>
      </c>
      <c r="J190" s="2">
        <v>2.1528999999999998</v>
      </c>
      <c r="K190" s="2">
        <v>2.0644999999999998</v>
      </c>
      <c r="L190" s="2">
        <v>1.9939</v>
      </c>
      <c r="M190" s="2">
        <v>1.9359999999999999</v>
      </c>
      <c r="N190" s="2">
        <v>1.8874</v>
      </c>
      <c r="O190" s="2">
        <v>1.8460000000000001</v>
      </c>
      <c r="P190" s="2">
        <v>1.8102</v>
      </c>
      <c r="Q190" s="2">
        <v>1.7787999999999999</v>
      </c>
      <c r="R190" s="2">
        <v>1.7511000000000001</v>
      </c>
      <c r="S190" s="2">
        <v>1.7262999999999999</v>
      </c>
      <c r="T190" s="2">
        <v>1.704</v>
      </c>
      <c r="U190" s="2">
        <v>1.6839</v>
      </c>
      <c r="V190" s="2">
        <v>1.6656</v>
      </c>
      <c r="W190" s="2">
        <v>1.6488</v>
      </c>
      <c r="X190" s="2">
        <v>1.6334</v>
      </c>
    </row>
    <row r="191" spans="4:24" x14ac:dyDescent="0.2">
      <c r="D191" s="1">
        <v>169</v>
      </c>
      <c r="E191" s="2">
        <v>3.8971</v>
      </c>
      <c r="F191" s="2">
        <v>3.0495000000000001</v>
      </c>
      <c r="G191" s="2">
        <v>2.6581000000000001</v>
      </c>
      <c r="H191" s="2">
        <v>2.4251</v>
      </c>
      <c r="I191" s="2">
        <v>2.2675999999999998</v>
      </c>
      <c r="J191" s="2">
        <v>2.1526000000000001</v>
      </c>
      <c r="K191" s="2">
        <v>2.0640999999999998</v>
      </c>
      <c r="L191" s="2">
        <v>1.9936</v>
      </c>
      <c r="M191" s="2">
        <v>1.9357</v>
      </c>
      <c r="N191" s="2">
        <v>1.8871</v>
      </c>
      <c r="O191" s="2">
        <v>1.8456999999999999</v>
      </c>
      <c r="P191" s="2">
        <v>1.8099000000000001</v>
      </c>
      <c r="Q191" s="2">
        <v>1.7785</v>
      </c>
      <c r="R191" s="2">
        <v>1.7506999999999999</v>
      </c>
      <c r="S191" s="2">
        <v>1.7259</v>
      </c>
      <c r="T191" s="2">
        <v>1.7037</v>
      </c>
      <c r="U191" s="2">
        <v>1.6835</v>
      </c>
      <c r="V191" s="2">
        <v>1.6652</v>
      </c>
      <c r="W191" s="2">
        <v>1.6484000000000001</v>
      </c>
      <c r="X191" s="2">
        <v>1.633</v>
      </c>
    </row>
    <row r="192" spans="4:24" x14ac:dyDescent="0.2">
      <c r="D192" s="1">
        <v>170</v>
      </c>
      <c r="E192" s="2">
        <v>3.8967000000000001</v>
      </c>
      <c r="F192" s="2">
        <v>3.0491999999999999</v>
      </c>
      <c r="G192" s="2">
        <v>2.6577999999999999</v>
      </c>
      <c r="H192" s="2">
        <v>2.4247999999999998</v>
      </c>
      <c r="I192" s="2">
        <v>2.2673000000000001</v>
      </c>
      <c r="J192" s="2">
        <v>2.1522999999999999</v>
      </c>
      <c r="K192" s="2">
        <v>2.0638000000000001</v>
      </c>
      <c r="L192" s="2">
        <v>1.9932000000000001</v>
      </c>
      <c r="M192" s="2">
        <v>1.9353</v>
      </c>
      <c r="N192" s="2">
        <v>1.8868</v>
      </c>
      <c r="O192" s="2">
        <v>1.8453999999999999</v>
      </c>
      <c r="P192" s="2">
        <v>1.8095000000000001</v>
      </c>
      <c r="Q192" s="2">
        <v>1.7781</v>
      </c>
      <c r="R192" s="2">
        <v>1.7504</v>
      </c>
      <c r="S192" s="2">
        <v>1.7256</v>
      </c>
      <c r="T192" s="2">
        <v>1.7033</v>
      </c>
      <c r="U192" s="2">
        <v>1.6832</v>
      </c>
      <c r="V192" s="2">
        <v>1.6648000000000001</v>
      </c>
      <c r="W192" s="2">
        <v>1.6480999999999999</v>
      </c>
      <c r="X192" s="2">
        <v>1.6326000000000001</v>
      </c>
    </row>
    <row r="193" spans="4:24" x14ac:dyDescent="0.2">
      <c r="D193" s="1">
        <v>171</v>
      </c>
      <c r="E193" s="2">
        <v>3.8965000000000001</v>
      </c>
      <c r="F193" s="2">
        <v>3.0488</v>
      </c>
      <c r="G193" s="2">
        <v>2.6575000000000002</v>
      </c>
      <c r="H193" s="2">
        <v>2.4245000000000001</v>
      </c>
      <c r="I193" s="2">
        <v>2.2669999999999999</v>
      </c>
      <c r="J193" s="2">
        <v>2.1520000000000001</v>
      </c>
      <c r="K193" s="2">
        <v>2.0634999999999999</v>
      </c>
      <c r="L193" s="2">
        <v>1.9928999999999999</v>
      </c>
      <c r="M193" s="2">
        <v>1.9350000000000001</v>
      </c>
      <c r="N193" s="2">
        <v>1.8864000000000001</v>
      </c>
      <c r="O193" s="2">
        <v>1.845</v>
      </c>
      <c r="P193" s="2">
        <v>1.8091999999999999</v>
      </c>
      <c r="Q193" s="2">
        <v>1.7778</v>
      </c>
      <c r="R193" s="2">
        <v>1.75</v>
      </c>
      <c r="S193" s="2">
        <v>1.7252000000000001</v>
      </c>
      <c r="T193" s="2">
        <v>1.7030000000000001</v>
      </c>
      <c r="U193" s="2">
        <v>1.6828000000000001</v>
      </c>
      <c r="V193" s="2">
        <v>1.6645000000000001</v>
      </c>
      <c r="W193" s="2">
        <v>1.6476999999999999</v>
      </c>
      <c r="X193" s="2">
        <v>1.6323000000000001</v>
      </c>
    </row>
    <row r="194" spans="4:24" x14ac:dyDescent="0.2">
      <c r="D194" s="1">
        <v>172</v>
      </c>
      <c r="E194" s="2">
        <v>3.8961000000000001</v>
      </c>
      <c r="F194" s="2">
        <v>3.0485000000000002</v>
      </c>
      <c r="G194" s="2">
        <v>2.6570999999999998</v>
      </c>
      <c r="H194" s="2">
        <v>2.4241999999999999</v>
      </c>
      <c r="I194" s="2">
        <v>2.2667000000000002</v>
      </c>
      <c r="J194" s="2">
        <v>2.1516000000000002</v>
      </c>
      <c r="K194" s="2">
        <v>2.0632000000000001</v>
      </c>
      <c r="L194" s="2">
        <v>1.9925999999999999</v>
      </c>
      <c r="M194" s="2">
        <v>1.9347000000000001</v>
      </c>
      <c r="N194" s="2">
        <v>1.8861000000000001</v>
      </c>
      <c r="O194" s="2">
        <v>1.8447</v>
      </c>
      <c r="P194" s="2">
        <v>1.8088</v>
      </c>
      <c r="Q194" s="2">
        <v>1.7774000000000001</v>
      </c>
      <c r="R194" s="2">
        <v>1.7497</v>
      </c>
      <c r="S194" s="2">
        <v>1.7249000000000001</v>
      </c>
      <c r="T194" s="2">
        <v>1.7025999999999999</v>
      </c>
      <c r="U194" s="2">
        <v>1.6825000000000001</v>
      </c>
      <c r="V194" s="2">
        <v>1.6640999999999999</v>
      </c>
      <c r="W194" s="2">
        <v>1.6473</v>
      </c>
      <c r="X194" s="2">
        <v>1.6318999999999999</v>
      </c>
    </row>
    <row r="195" spans="4:24" x14ac:dyDescent="0.2">
      <c r="D195" s="1">
        <v>173</v>
      </c>
      <c r="E195" s="2">
        <v>3.8957999999999999</v>
      </c>
      <c r="F195" s="2">
        <v>3.0482</v>
      </c>
      <c r="G195" s="2">
        <v>2.6568000000000001</v>
      </c>
      <c r="H195" s="2">
        <v>2.4239000000000002</v>
      </c>
      <c r="I195" s="2">
        <v>2.2664</v>
      </c>
      <c r="J195" s="2">
        <v>2.1513</v>
      </c>
      <c r="K195" s="2">
        <v>2.0628000000000002</v>
      </c>
      <c r="L195" s="2">
        <v>1.9923</v>
      </c>
      <c r="M195" s="2">
        <v>1.9342999999999999</v>
      </c>
      <c r="N195" s="2">
        <v>1.8857999999999999</v>
      </c>
      <c r="O195" s="2">
        <v>1.8443000000000001</v>
      </c>
      <c r="P195" s="2">
        <v>1.8085</v>
      </c>
      <c r="Q195" s="2">
        <v>1.7770999999999999</v>
      </c>
      <c r="R195" s="2">
        <v>1.7493000000000001</v>
      </c>
      <c r="S195" s="2">
        <v>1.7245999999999999</v>
      </c>
      <c r="T195" s="2">
        <v>1.7022999999999999</v>
      </c>
      <c r="U195" s="2">
        <v>1.6820999999999999</v>
      </c>
      <c r="V195" s="2">
        <v>1.6637999999999999</v>
      </c>
      <c r="W195" s="2">
        <v>1.647</v>
      </c>
      <c r="X195" s="2">
        <v>1.6315999999999999</v>
      </c>
    </row>
    <row r="196" spans="4:24" x14ac:dyDescent="0.2">
      <c r="D196" s="1">
        <v>174</v>
      </c>
      <c r="E196" s="2">
        <v>3.8954</v>
      </c>
      <c r="F196" s="2">
        <v>3.0478999999999998</v>
      </c>
      <c r="G196" s="2">
        <v>2.6566000000000001</v>
      </c>
      <c r="H196" s="2">
        <v>2.4236</v>
      </c>
      <c r="I196" s="2">
        <v>2.266</v>
      </c>
      <c r="J196" s="2">
        <v>2.1509999999999998</v>
      </c>
      <c r="K196" s="2">
        <v>2.0626000000000002</v>
      </c>
      <c r="L196" s="2">
        <v>1.9919</v>
      </c>
      <c r="M196" s="2">
        <v>1.9339999999999999</v>
      </c>
      <c r="N196" s="2">
        <v>1.8855</v>
      </c>
      <c r="O196" s="2">
        <v>1.8440000000000001</v>
      </c>
      <c r="P196" s="2">
        <v>1.8082</v>
      </c>
      <c r="Q196" s="2">
        <v>1.7767999999999999</v>
      </c>
      <c r="R196" s="2">
        <v>1.7490000000000001</v>
      </c>
      <c r="S196" s="2">
        <v>1.7242</v>
      </c>
      <c r="T196" s="2">
        <v>1.7019</v>
      </c>
      <c r="U196" s="2">
        <v>1.6818</v>
      </c>
      <c r="V196" s="2">
        <v>1.6634</v>
      </c>
      <c r="W196" s="2">
        <v>1.6466000000000001</v>
      </c>
      <c r="X196" s="2">
        <v>1.6312</v>
      </c>
    </row>
    <row r="197" spans="4:24" x14ac:dyDescent="0.2">
      <c r="D197" s="1">
        <v>175</v>
      </c>
      <c r="E197" s="2">
        <v>3.8952</v>
      </c>
      <c r="F197" s="2">
        <v>3.0476000000000001</v>
      </c>
      <c r="G197" s="2">
        <v>2.6562999999999999</v>
      </c>
      <c r="H197" s="2">
        <v>2.4232999999999998</v>
      </c>
      <c r="I197" s="2">
        <v>2.2658</v>
      </c>
      <c r="J197" s="2">
        <v>2.1507000000000001</v>
      </c>
      <c r="K197" s="2">
        <v>2.0621999999999998</v>
      </c>
      <c r="L197" s="2">
        <v>1.9916</v>
      </c>
      <c r="M197" s="2">
        <v>1.9337</v>
      </c>
      <c r="N197" s="2">
        <v>1.8852</v>
      </c>
      <c r="O197" s="2">
        <v>1.8436999999999999</v>
      </c>
      <c r="P197" s="2">
        <v>1.8078000000000001</v>
      </c>
      <c r="Q197" s="2">
        <v>1.7764</v>
      </c>
      <c r="R197" s="2">
        <v>1.7486999999999999</v>
      </c>
      <c r="S197" s="2">
        <v>1.7239</v>
      </c>
      <c r="T197" s="2">
        <v>1.7016</v>
      </c>
      <c r="U197" s="2">
        <v>1.6814</v>
      </c>
      <c r="V197" s="2">
        <v>1.6631</v>
      </c>
      <c r="W197" s="2">
        <v>1.6463000000000001</v>
      </c>
      <c r="X197" s="2">
        <v>1.6309</v>
      </c>
    </row>
    <row r="198" spans="4:24" x14ac:dyDescent="0.2">
      <c r="D198" s="1">
        <v>176</v>
      </c>
      <c r="E198" s="2">
        <v>3.8948</v>
      </c>
      <c r="F198" s="2">
        <v>3.0472999999999999</v>
      </c>
      <c r="G198" s="2">
        <v>2.6558999999999999</v>
      </c>
      <c r="H198" s="2">
        <v>2.423</v>
      </c>
      <c r="I198" s="2">
        <v>2.2654999999999998</v>
      </c>
      <c r="J198" s="2">
        <v>2.1503999999999999</v>
      </c>
      <c r="K198" s="2">
        <v>2.0619000000000001</v>
      </c>
      <c r="L198" s="2">
        <v>1.9913000000000001</v>
      </c>
      <c r="M198" s="2">
        <v>1.9334</v>
      </c>
      <c r="N198" s="2">
        <v>1.8848</v>
      </c>
      <c r="O198" s="2">
        <v>1.8433999999999999</v>
      </c>
      <c r="P198" s="2">
        <v>1.8075000000000001</v>
      </c>
      <c r="Q198" s="2">
        <v>1.7761</v>
      </c>
      <c r="R198" s="2">
        <v>1.7483</v>
      </c>
      <c r="S198" s="2">
        <v>1.7236</v>
      </c>
      <c r="T198" s="2">
        <v>1.7013</v>
      </c>
      <c r="U198" s="2">
        <v>1.6811</v>
      </c>
      <c r="V198" s="2">
        <v>1.6628000000000001</v>
      </c>
      <c r="W198" s="2">
        <v>1.6459999999999999</v>
      </c>
      <c r="X198" s="2">
        <v>1.6305000000000001</v>
      </c>
    </row>
    <row r="199" spans="4:24" x14ac:dyDescent="0.2">
      <c r="D199" s="1">
        <v>177</v>
      </c>
      <c r="E199" s="2">
        <v>3.8944999999999999</v>
      </c>
      <c r="F199" s="2">
        <v>3.0470000000000002</v>
      </c>
      <c r="G199" s="2">
        <v>2.6556000000000002</v>
      </c>
      <c r="H199" s="2">
        <v>2.4226999999999999</v>
      </c>
      <c r="I199" s="2">
        <v>2.2652000000000001</v>
      </c>
      <c r="J199" s="2">
        <v>2.1501000000000001</v>
      </c>
      <c r="K199" s="2">
        <v>2.0615999999999999</v>
      </c>
      <c r="L199" s="2">
        <v>1.9910000000000001</v>
      </c>
      <c r="M199" s="2">
        <v>1.9331</v>
      </c>
      <c r="N199" s="2">
        <v>1.8845000000000001</v>
      </c>
      <c r="O199" s="2">
        <v>1.8431</v>
      </c>
      <c r="P199" s="2">
        <v>1.8071999999999999</v>
      </c>
      <c r="Q199" s="2">
        <v>1.7758</v>
      </c>
      <c r="R199" s="2">
        <v>1.748</v>
      </c>
      <c r="S199" s="2">
        <v>1.7232000000000001</v>
      </c>
      <c r="T199" s="2">
        <v>1.7009000000000001</v>
      </c>
      <c r="U199" s="2">
        <v>1.6808000000000001</v>
      </c>
      <c r="V199" s="2">
        <v>1.6624000000000001</v>
      </c>
      <c r="W199" s="2">
        <v>1.6456</v>
      </c>
      <c r="X199" s="2">
        <v>1.6302000000000001</v>
      </c>
    </row>
    <row r="200" spans="4:24" x14ac:dyDescent="0.2">
      <c r="D200" s="1">
        <v>178</v>
      </c>
      <c r="E200" s="2">
        <v>3.8942999999999999</v>
      </c>
      <c r="F200" s="2">
        <v>3.0467</v>
      </c>
      <c r="G200" s="2">
        <v>2.6554000000000002</v>
      </c>
      <c r="H200" s="2">
        <v>2.4224000000000001</v>
      </c>
      <c r="I200" s="2">
        <v>2.2648999999999999</v>
      </c>
      <c r="J200" s="2">
        <v>2.1497999999999999</v>
      </c>
      <c r="K200" s="2">
        <v>2.0613000000000001</v>
      </c>
      <c r="L200" s="2">
        <v>1.9906999999999999</v>
      </c>
      <c r="M200" s="2">
        <v>1.9328000000000001</v>
      </c>
      <c r="N200" s="2">
        <v>1.8842000000000001</v>
      </c>
      <c r="O200" s="2">
        <v>1.8428</v>
      </c>
      <c r="P200" s="2">
        <v>1.8069</v>
      </c>
      <c r="Q200" s="2">
        <v>1.7755000000000001</v>
      </c>
      <c r="R200" s="2">
        <v>1.7477</v>
      </c>
      <c r="S200" s="2">
        <v>1.7229000000000001</v>
      </c>
      <c r="T200" s="2">
        <v>1.7005999999999999</v>
      </c>
      <c r="U200" s="2">
        <v>1.6805000000000001</v>
      </c>
      <c r="V200" s="2">
        <v>1.6620999999999999</v>
      </c>
      <c r="W200" s="2">
        <v>1.6453</v>
      </c>
      <c r="X200" s="2">
        <v>1.6297999999999999</v>
      </c>
    </row>
    <row r="201" spans="4:24" x14ac:dyDescent="0.2">
      <c r="D201" s="1">
        <v>179</v>
      </c>
      <c r="E201" s="2">
        <v>3.8938999999999999</v>
      </c>
      <c r="F201" s="2">
        <v>3.0465</v>
      </c>
      <c r="G201" s="2">
        <v>2.6551</v>
      </c>
      <c r="H201" s="2">
        <v>2.4220999999999999</v>
      </c>
      <c r="I201" s="2">
        <v>2.2646000000000002</v>
      </c>
      <c r="J201" s="2">
        <v>2.1495000000000002</v>
      </c>
      <c r="K201" s="2">
        <v>2.0611000000000002</v>
      </c>
      <c r="L201" s="2">
        <v>1.9903999999999999</v>
      </c>
      <c r="M201" s="2">
        <v>1.9325000000000001</v>
      </c>
      <c r="N201" s="2">
        <v>1.8838999999999999</v>
      </c>
      <c r="O201" s="2">
        <v>1.8425</v>
      </c>
      <c r="P201" s="2">
        <v>1.8066</v>
      </c>
      <c r="Q201" s="2">
        <v>1.7751999999999999</v>
      </c>
      <c r="R201" s="2">
        <v>1.7474000000000001</v>
      </c>
      <c r="S201" s="2">
        <v>1.7225999999999999</v>
      </c>
      <c r="T201" s="2">
        <v>1.7002999999999999</v>
      </c>
      <c r="U201" s="2">
        <v>1.6800999999999999</v>
      </c>
      <c r="V201" s="2">
        <v>1.6617999999999999</v>
      </c>
      <c r="W201" s="2">
        <v>1.645</v>
      </c>
      <c r="X201" s="2">
        <v>1.6294999999999999</v>
      </c>
    </row>
    <row r="202" spans="4:24" x14ac:dyDescent="0.2">
      <c r="D202" s="1">
        <v>180</v>
      </c>
      <c r="E202" s="2">
        <v>3.8936000000000002</v>
      </c>
      <c r="F202" s="2">
        <v>3.0461999999999998</v>
      </c>
      <c r="G202" s="2">
        <v>2.6547999999999998</v>
      </c>
      <c r="H202" s="2">
        <v>2.4218000000000002</v>
      </c>
      <c r="I202" s="2">
        <v>2.2643</v>
      </c>
      <c r="J202" s="2">
        <v>2.1492</v>
      </c>
      <c r="K202" s="2">
        <v>2.0608</v>
      </c>
      <c r="L202" s="2">
        <v>1.9901</v>
      </c>
      <c r="M202" s="2">
        <v>1.9321999999999999</v>
      </c>
      <c r="N202" s="2">
        <v>1.8835999999999999</v>
      </c>
      <c r="O202" s="2">
        <v>1.8422000000000001</v>
      </c>
      <c r="P202" s="2">
        <v>1.8063</v>
      </c>
      <c r="Q202" s="2">
        <v>1.7748999999999999</v>
      </c>
      <c r="R202" s="2">
        <v>1.7471000000000001</v>
      </c>
      <c r="S202" s="2">
        <v>1.7222999999999999</v>
      </c>
      <c r="T202" s="2">
        <v>1.7</v>
      </c>
      <c r="U202" s="2">
        <v>1.6798</v>
      </c>
      <c r="V202" s="2">
        <v>1.6614</v>
      </c>
      <c r="W202" s="2">
        <v>1.6446000000000001</v>
      </c>
      <c r="X202" s="2">
        <v>1.6292</v>
      </c>
    </row>
    <row r="203" spans="4:24" x14ac:dyDescent="0.2">
      <c r="D203" s="1" t="s">
        <v>10</v>
      </c>
      <c r="E203" s="1">
        <v>1</v>
      </c>
      <c r="F203" s="1">
        <v>2</v>
      </c>
      <c r="G203" s="1">
        <v>3</v>
      </c>
      <c r="H203" s="1">
        <v>4</v>
      </c>
      <c r="I203" s="1">
        <v>5</v>
      </c>
      <c r="J203" s="1">
        <v>6</v>
      </c>
      <c r="K203" s="1">
        <v>7</v>
      </c>
      <c r="L203" s="1">
        <v>8</v>
      </c>
      <c r="M203" s="1">
        <v>9</v>
      </c>
      <c r="N203" s="1">
        <v>10</v>
      </c>
      <c r="O203" s="1">
        <v>11</v>
      </c>
      <c r="P203" s="1">
        <v>12</v>
      </c>
      <c r="Q203" s="1">
        <v>13</v>
      </c>
      <c r="R203" s="1">
        <v>14</v>
      </c>
      <c r="S203" s="1">
        <v>15</v>
      </c>
      <c r="T203" s="1">
        <v>16</v>
      </c>
      <c r="U203" s="1">
        <v>17</v>
      </c>
      <c r="V203" s="1">
        <v>18</v>
      </c>
      <c r="W203" s="1">
        <v>19</v>
      </c>
      <c r="X203" s="1">
        <v>20</v>
      </c>
    </row>
    <row r="204" spans="4:24" x14ac:dyDescent="0.2">
      <c r="D204" s="1" t="s">
        <v>11</v>
      </c>
      <c r="E204" s="1" t="s">
        <v>12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4:24" x14ac:dyDescent="0.2">
      <c r="D205" s="1">
        <v>181</v>
      </c>
      <c r="E205" s="2">
        <v>3.8933</v>
      </c>
      <c r="F205" s="2">
        <v>3.0457999999999998</v>
      </c>
      <c r="G205" s="2">
        <v>2.6545000000000001</v>
      </c>
      <c r="H205" s="2">
        <v>2.4216000000000002</v>
      </c>
      <c r="I205" s="2">
        <v>2.2639999999999998</v>
      </c>
      <c r="J205" s="2">
        <v>2.149</v>
      </c>
      <c r="K205" s="2">
        <v>2.0605000000000002</v>
      </c>
      <c r="L205" s="2">
        <v>1.9899</v>
      </c>
      <c r="M205" s="2">
        <v>1.9319</v>
      </c>
      <c r="N205" s="2">
        <v>1.8833</v>
      </c>
      <c r="O205" s="2">
        <v>1.8419000000000001</v>
      </c>
      <c r="P205" s="2">
        <v>1.806</v>
      </c>
      <c r="Q205" s="2">
        <v>1.7746</v>
      </c>
      <c r="R205" s="2">
        <v>1.7467999999999999</v>
      </c>
      <c r="S205" s="2">
        <v>1.7219</v>
      </c>
      <c r="T205" s="2">
        <v>1.6997</v>
      </c>
      <c r="U205" s="2">
        <v>1.6795</v>
      </c>
      <c r="V205" s="2">
        <v>1.6611</v>
      </c>
      <c r="W205" s="2">
        <v>1.6443000000000001</v>
      </c>
      <c r="X205" s="2">
        <v>1.6289</v>
      </c>
    </row>
    <row r="206" spans="4:24" x14ac:dyDescent="0.2">
      <c r="D206" s="1">
        <v>182</v>
      </c>
      <c r="E206" s="2">
        <v>3.8931</v>
      </c>
      <c r="F206" s="2">
        <v>3.0455999999999999</v>
      </c>
      <c r="G206" s="2">
        <v>2.6543000000000001</v>
      </c>
      <c r="H206" s="2">
        <v>2.4213</v>
      </c>
      <c r="I206" s="2">
        <v>2.2637999999999998</v>
      </c>
      <c r="J206" s="2">
        <v>2.1486999999999998</v>
      </c>
      <c r="K206" s="2">
        <v>2.0602</v>
      </c>
      <c r="L206" s="2">
        <v>1.9896</v>
      </c>
      <c r="M206" s="2">
        <v>1.9316</v>
      </c>
      <c r="N206" s="2">
        <v>1.883</v>
      </c>
      <c r="O206" s="2">
        <v>1.8415999999999999</v>
      </c>
      <c r="P206" s="2">
        <v>1.8057000000000001</v>
      </c>
      <c r="Q206" s="2">
        <v>1.7743</v>
      </c>
      <c r="R206" s="2">
        <v>1.7464999999999999</v>
      </c>
      <c r="S206" s="2">
        <v>1.7217</v>
      </c>
      <c r="T206" s="2">
        <v>1.6994</v>
      </c>
      <c r="U206" s="2">
        <v>1.6792</v>
      </c>
      <c r="V206" s="2">
        <v>1.6608000000000001</v>
      </c>
      <c r="W206" s="2">
        <v>1.6439999999999999</v>
      </c>
      <c r="X206" s="2">
        <v>1.6286</v>
      </c>
    </row>
    <row r="207" spans="4:24" x14ac:dyDescent="0.2">
      <c r="D207" s="1">
        <v>183</v>
      </c>
      <c r="E207" s="2">
        <v>3.8927999999999998</v>
      </c>
      <c r="F207" s="2">
        <v>3.0453000000000001</v>
      </c>
      <c r="G207" s="2">
        <v>2.6539999999999999</v>
      </c>
      <c r="H207" s="2">
        <v>2.4209999999999998</v>
      </c>
      <c r="I207" s="2">
        <v>2.2635000000000001</v>
      </c>
      <c r="J207" s="2">
        <v>2.1484000000000001</v>
      </c>
      <c r="K207" s="2">
        <v>2.0598999999999998</v>
      </c>
      <c r="L207" s="2">
        <v>1.9893000000000001</v>
      </c>
      <c r="M207" s="2">
        <v>1.9313</v>
      </c>
      <c r="N207" s="2">
        <v>1.8827</v>
      </c>
      <c r="O207" s="2">
        <v>1.8412999999999999</v>
      </c>
      <c r="P207" s="2">
        <v>1.8053999999999999</v>
      </c>
      <c r="Q207" s="2">
        <v>1.774</v>
      </c>
      <c r="R207" s="2">
        <v>1.7462</v>
      </c>
      <c r="S207" s="2">
        <v>1.7214</v>
      </c>
      <c r="T207" s="2">
        <v>1.6991000000000001</v>
      </c>
      <c r="U207" s="2">
        <v>1.6789000000000001</v>
      </c>
      <c r="V207" s="2">
        <v>1.6605000000000001</v>
      </c>
      <c r="W207" s="2">
        <v>1.6436999999999999</v>
      </c>
      <c r="X207" s="2">
        <v>1.6282000000000001</v>
      </c>
    </row>
    <row r="208" spans="4:24" x14ac:dyDescent="0.2">
      <c r="D208" s="1">
        <v>184</v>
      </c>
      <c r="E208" s="2">
        <v>3.8925000000000001</v>
      </c>
      <c r="F208" s="2">
        <v>3.0449999999999999</v>
      </c>
      <c r="G208" s="2">
        <v>2.6537000000000002</v>
      </c>
      <c r="H208" s="2">
        <v>2.4207000000000001</v>
      </c>
      <c r="I208" s="2">
        <v>2.2631999999999999</v>
      </c>
      <c r="J208" s="2">
        <v>2.1480999999999999</v>
      </c>
      <c r="K208" s="2">
        <v>2.0596000000000001</v>
      </c>
      <c r="L208" s="2">
        <v>1.9890000000000001</v>
      </c>
      <c r="M208" s="2">
        <v>1.9311</v>
      </c>
      <c r="N208" s="2">
        <v>1.8825000000000001</v>
      </c>
      <c r="O208" s="2">
        <v>1.841</v>
      </c>
      <c r="P208" s="2">
        <v>1.8050999999999999</v>
      </c>
      <c r="Q208" s="2">
        <v>1.7737000000000001</v>
      </c>
      <c r="R208" s="2">
        <v>1.7459</v>
      </c>
      <c r="S208" s="2">
        <v>1.7210000000000001</v>
      </c>
      <c r="T208" s="2">
        <v>1.6987000000000001</v>
      </c>
      <c r="U208" s="2">
        <v>1.6786000000000001</v>
      </c>
      <c r="V208" s="2">
        <v>1.6601999999999999</v>
      </c>
      <c r="W208" s="2">
        <v>1.6434</v>
      </c>
      <c r="X208" s="2">
        <v>1.6278999999999999</v>
      </c>
    </row>
    <row r="209" spans="4:24" x14ac:dyDescent="0.2">
      <c r="D209" s="1">
        <v>185</v>
      </c>
      <c r="E209" s="2">
        <v>3.8923000000000001</v>
      </c>
      <c r="F209" s="2">
        <v>3.0448</v>
      </c>
      <c r="G209" s="2">
        <v>2.6534</v>
      </c>
      <c r="H209" s="2">
        <v>2.4205000000000001</v>
      </c>
      <c r="I209" s="2">
        <v>2.2629999999999999</v>
      </c>
      <c r="J209" s="2">
        <v>2.1478999999999999</v>
      </c>
      <c r="K209" s="2">
        <v>2.0594000000000001</v>
      </c>
      <c r="L209" s="2">
        <v>1.9886999999999999</v>
      </c>
      <c r="M209" s="2">
        <v>1.9308000000000001</v>
      </c>
      <c r="N209" s="2">
        <v>1.8822000000000001</v>
      </c>
      <c r="O209" s="2">
        <v>1.8407</v>
      </c>
      <c r="P209" s="2">
        <v>1.8048</v>
      </c>
      <c r="Q209" s="2">
        <v>1.7734000000000001</v>
      </c>
      <c r="R209" s="2">
        <v>1.7456</v>
      </c>
      <c r="S209" s="2">
        <v>1.7208000000000001</v>
      </c>
      <c r="T209" s="2">
        <v>1.6983999999999999</v>
      </c>
      <c r="U209" s="2">
        <v>1.6782999999999999</v>
      </c>
      <c r="V209" s="2">
        <v>1.6598999999999999</v>
      </c>
      <c r="W209" s="2">
        <v>1.643</v>
      </c>
      <c r="X209" s="2">
        <v>1.6275999999999999</v>
      </c>
    </row>
    <row r="210" spans="4:24" x14ac:dyDescent="0.2">
      <c r="D210" s="1">
        <v>186</v>
      </c>
      <c r="E210" s="2">
        <v>3.8919999999999999</v>
      </c>
      <c r="F210" s="2">
        <v>3.0445000000000002</v>
      </c>
      <c r="G210" s="2">
        <v>2.6530999999999998</v>
      </c>
      <c r="H210" s="2">
        <v>2.4201999999999999</v>
      </c>
      <c r="I210" s="2">
        <v>2.2627000000000002</v>
      </c>
      <c r="J210" s="2">
        <v>2.1476000000000002</v>
      </c>
      <c r="K210" s="2">
        <v>2.0590999999999999</v>
      </c>
      <c r="L210" s="2">
        <v>1.9884999999999999</v>
      </c>
      <c r="M210" s="2">
        <v>1.9305000000000001</v>
      </c>
      <c r="N210" s="2">
        <v>1.8818999999999999</v>
      </c>
      <c r="O210" s="2">
        <v>1.8404</v>
      </c>
      <c r="P210" s="2">
        <v>1.8045</v>
      </c>
      <c r="Q210" s="2">
        <v>1.7730999999999999</v>
      </c>
      <c r="R210" s="2">
        <v>1.7453000000000001</v>
      </c>
      <c r="S210" s="2">
        <v>1.7204999999999999</v>
      </c>
      <c r="T210" s="2">
        <v>1.6980999999999999</v>
      </c>
      <c r="U210" s="2">
        <v>1.6779999999999999</v>
      </c>
      <c r="V210" s="2">
        <v>1.6596</v>
      </c>
      <c r="W210" s="2">
        <v>1.6428</v>
      </c>
      <c r="X210" s="2">
        <v>1.6273</v>
      </c>
    </row>
    <row r="211" spans="4:24" x14ac:dyDescent="0.2">
      <c r="D211" s="1">
        <v>187</v>
      </c>
      <c r="E211" s="2">
        <v>3.8917000000000002</v>
      </c>
      <c r="F211" s="2">
        <v>3.0442</v>
      </c>
      <c r="G211" s="2">
        <v>2.6528999999999998</v>
      </c>
      <c r="H211" s="2">
        <v>2.4199000000000002</v>
      </c>
      <c r="I211" s="2">
        <v>2.2624</v>
      </c>
      <c r="J211" s="2">
        <v>2.1473</v>
      </c>
      <c r="K211" s="2">
        <v>2.0588000000000002</v>
      </c>
      <c r="L211" s="2">
        <v>1.9882</v>
      </c>
      <c r="M211" s="2">
        <v>1.9301999999999999</v>
      </c>
      <c r="N211" s="2">
        <v>1.8815999999999999</v>
      </c>
      <c r="O211" s="2">
        <v>1.8401000000000001</v>
      </c>
      <c r="P211" s="2">
        <v>1.8042</v>
      </c>
      <c r="Q211" s="2">
        <v>1.7727999999999999</v>
      </c>
      <c r="R211" s="2">
        <v>1.7450000000000001</v>
      </c>
      <c r="S211" s="2">
        <v>1.7202</v>
      </c>
      <c r="T211" s="2">
        <v>1.6979</v>
      </c>
      <c r="U211" s="2">
        <v>1.6777</v>
      </c>
      <c r="V211" s="2">
        <v>1.6593</v>
      </c>
      <c r="W211" s="2">
        <v>1.6424000000000001</v>
      </c>
      <c r="X211" s="2">
        <v>1.627</v>
      </c>
    </row>
    <row r="212" spans="4:24" x14ac:dyDescent="0.2">
      <c r="D212" s="1">
        <v>188</v>
      </c>
      <c r="E212" s="2">
        <v>3.8914</v>
      </c>
      <c r="F212" s="2">
        <v>3.044</v>
      </c>
      <c r="G212" s="2">
        <v>2.6526000000000001</v>
      </c>
      <c r="H212" s="2">
        <v>2.4197000000000002</v>
      </c>
      <c r="I212" s="2">
        <v>2.2621000000000002</v>
      </c>
      <c r="J212" s="2">
        <v>2.1471</v>
      </c>
      <c r="K212" s="2">
        <v>2.0586000000000002</v>
      </c>
      <c r="L212" s="2">
        <v>1.9879</v>
      </c>
      <c r="M212" s="2">
        <v>1.9298999999999999</v>
      </c>
      <c r="N212" s="2">
        <v>1.8814</v>
      </c>
      <c r="O212" s="2">
        <v>1.8399000000000001</v>
      </c>
      <c r="P212" s="2">
        <v>1.804</v>
      </c>
      <c r="Q212" s="2">
        <v>1.7725</v>
      </c>
      <c r="R212" s="2">
        <v>1.7446999999999999</v>
      </c>
      <c r="S212" s="2">
        <v>1.7199</v>
      </c>
      <c r="T212" s="2">
        <v>1.6976</v>
      </c>
      <c r="U212" s="2">
        <v>1.6774</v>
      </c>
      <c r="V212" s="2">
        <v>1.659</v>
      </c>
      <c r="W212" s="2">
        <v>1.6420999999999999</v>
      </c>
      <c r="X212" s="2">
        <v>1.6267</v>
      </c>
    </row>
    <row r="213" spans="4:24" x14ac:dyDescent="0.2">
      <c r="D213" s="1">
        <v>189</v>
      </c>
      <c r="E213" s="2">
        <v>3.8912</v>
      </c>
      <c r="F213" s="2">
        <v>3.0436999999999999</v>
      </c>
      <c r="G213" s="2">
        <v>2.6524000000000001</v>
      </c>
      <c r="H213" s="2">
        <v>2.4195000000000002</v>
      </c>
      <c r="I213" s="2">
        <v>2.2618999999999998</v>
      </c>
      <c r="J213" s="2">
        <v>2.1467999999999998</v>
      </c>
      <c r="K213" s="2">
        <v>2.0583</v>
      </c>
      <c r="L213" s="2">
        <v>1.9877</v>
      </c>
      <c r="M213" s="2">
        <v>1.9297</v>
      </c>
      <c r="N213" s="2">
        <v>1.8811</v>
      </c>
      <c r="O213" s="2">
        <v>1.8395999999999999</v>
      </c>
      <c r="P213" s="2">
        <v>1.8037000000000001</v>
      </c>
      <c r="Q213" s="2">
        <v>1.7722</v>
      </c>
      <c r="R213" s="2">
        <v>1.7444</v>
      </c>
      <c r="S213" s="2">
        <v>1.7196</v>
      </c>
      <c r="T213" s="2">
        <v>1.6973</v>
      </c>
      <c r="U213" s="2">
        <v>1.6771</v>
      </c>
      <c r="V213" s="2">
        <v>1.6587000000000001</v>
      </c>
      <c r="W213" s="2">
        <v>1.6417999999999999</v>
      </c>
      <c r="X213" s="2">
        <v>1.6264000000000001</v>
      </c>
    </row>
    <row r="214" spans="4:24" x14ac:dyDescent="0.2">
      <c r="D214" s="1">
        <v>190</v>
      </c>
      <c r="E214" s="2">
        <v>3.8908999999999998</v>
      </c>
      <c r="F214" s="2">
        <v>3.0434999999999999</v>
      </c>
      <c r="G214" s="2">
        <v>2.6520999999999999</v>
      </c>
      <c r="H214" s="2">
        <v>2.4192</v>
      </c>
      <c r="I214" s="2">
        <v>2.2616999999999998</v>
      </c>
      <c r="J214" s="2">
        <v>2.1465999999999998</v>
      </c>
      <c r="K214" s="2">
        <v>2.0581</v>
      </c>
      <c r="L214" s="2">
        <v>1.9874000000000001</v>
      </c>
      <c r="M214" s="2">
        <v>1.9294</v>
      </c>
      <c r="N214" s="2">
        <v>1.8808</v>
      </c>
      <c r="O214" s="2">
        <v>1.8392999999999999</v>
      </c>
      <c r="P214" s="2">
        <v>1.8033999999999999</v>
      </c>
      <c r="Q214" s="2">
        <v>1.772</v>
      </c>
      <c r="R214" s="2">
        <v>1.7441</v>
      </c>
      <c r="S214" s="2">
        <v>1.7193000000000001</v>
      </c>
      <c r="T214" s="2">
        <v>1.6970000000000001</v>
      </c>
      <c r="U214" s="2">
        <v>1.6768000000000001</v>
      </c>
      <c r="V214" s="2">
        <v>1.6584000000000001</v>
      </c>
      <c r="W214" s="2">
        <v>1.6415999999999999</v>
      </c>
      <c r="X214" s="2">
        <v>1.6261000000000001</v>
      </c>
    </row>
    <row r="215" spans="4:24" x14ac:dyDescent="0.2">
      <c r="D215" s="1">
        <v>191</v>
      </c>
      <c r="E215" s="2">
        <v>3.8906000000000001</v>
      </c>
      <c r="F215" s="2">
        <v>3.0432000000000001</v>
      </c>
      <c r="G215" s="2">
        <v>2.6518999999999999</v>
      </c>
      <c r="H215" s="2">
        <v>2.4188999999999998</v>
      </c>
      <c r="I215" s="2">
        <v>2.2614000000000001</v>
      </c>
      <c r="J215" s="2">
        <v>2.1463000000000001</v>
      </c>
      <c r="K215" s="2">
        <v>2.0577999999999999</v>
      </c>
      <c r="L215" s="2">
        <v>1.9871000000000001</v>
      </c>
      <c r="M215" s="2">
        <v>1.9292</v>
      </c>
      <c r="N215" s="2">
        <v>1.8805000000000001</v>
      </c>
      <c r="O215" s="2">
        <v>1.8391</v>
      </c>
      <c r="P215" s="2">
        <v>1.8031999999999999</v>
      </c>
      <c r="Q215" s="2">
        <v>1.7717000000000001</v>
      </c>
      <c r="R215" s="2">
        <v>1.7439</v>
      </c>
      <c r="S215" s="2">
        <v>1.7190000000000001</v>
      </c>
      <c r="T215" s="2">
        <v>1.6967000000000001</v>
      </c>
      <c r="U215" s="2">
        <v>1.6765000000000001</v>
      </c>
      <c r="V215" s="2">
        <v>1.6580999999999999</v>
      </c>
      <c r="W215" s="2">
        <v>1.6413</v>
      </c>
      <c r="X215" s="2">
        <v>1.6257999999999999</v>
      </c>
    </row>
    <row r="216" spans="4:24" x14ac:dyDescent="0.2">
      <c r="D216" s="1">
        <v>192</v>
      </c>
      <c r="E216" s="2">
        <v>3.8902999999999999</v>
      </c>
      <c r="F216" s="2">
        <v>3.0430000000000001</v>
      </c>
      <c r="G216" s="2">
        <v>2.6516000000000002</v>
      </c>
      <c r="H216" s="2">
        <v>2.4186999999999999</v>
      </c>
      <c r="I216" s="2">
        <v>2.2610999999999999</v>
      </c>
      <c r="J216" s="2">
        <v>2.1461000000000001</v>
      </c>
      <c r="K216" s="2">
        <v>2.0575000000000001</v>
      </c>
      <c r="L216" s="2">
        <v>1.9869000000000001</v>
      </c>
      <c r="M216" s="2">
        <v>1.9289000000000001</v>
      </c>
      <c r="N216" s="2">
        <v>1.8803000000000001</v>
      </c>
      <c r="O216" s="2">
        <v>1.8388</v>
      </c>
      <c r="P216" s="2">
        <v>1.8028999999999999</v>
      </c>
      <c r="Q216" s="2">
        <v>1.7714000000000001</v>
      </c>
      <c r="R216" s="2">
        <v>1.7436</v>
      </c>
      <c r="S216" s="2">
        <v>1.7188000000000001</v>
      </c>
      <c r="T216" s="2">
        <v>1.6963999999999999</v>
      </c>
      <c r="U216" s="2">
        <v>1.6761999999999999</v>
      </c>
      <c r="V216" s="2">
        <v>1.6577999999999999</v>
      </c>
      <c r="W216" s="2">
        <v>1.641</v>
      </c>
      <c r="X216" s="2">
        <v>1.6254999999999999</v>
      </c>
    </row>
    <row r="217" spans="4:24" x14ac:dyDescent="0.2">
      <c r="D217" s="1">
        <v>193</v>
      </c>
      <c r="E217" s="2">
        <v>3.8900999999999999</v>
      </c>
      <c r="F217" s="2">
        <v>3.0427</v>
      </c>
      <c r="G217" s="2">
        <v>2.6514000000000002</v>
      </c>
      <c r="H217" s="2">
        <v>2.4184000000000001</v>
      </c>
      <c r="I217" s="2">
        <v>2.2608999999999999</v>
      </c>
      <c r="J217" s="2">
        <v>2.1457999999999999</v>
      </c>
      <c r="K217" s="2">
        <v>2.0573000000000001</v>
      </c>
      <c r="L217" s="2">
        <v>1.9865999999999999</v>
      </c>
      <c r="M217" s="2">
        <v>1.9286000000000001</v>
      </c>
      <c r="N217" s="2">
        <v>1.88</v>
      </c>
      <c r="O217" s="2">
        <v>1.8385</v>
      </c>
      <c r="P217" s="2">
        <v>1.8026</v>
      </c>
      <c r="Q217" s="2">
        <v>1.7712000000000001</v>
      </c>
      <c r="R217" s="2">
        <v>1.7433000000000001</v>
      </c>
      <c r="S217" s="2">
        <v>1.7184999999999999</v>
      </c>
      <c r="T217" s="2">
        <v>1.6960999999999999</v>
      </c>
      <c r="U217" s="2">
        <v>1.6758999999999999</v>
      </c>
      <c r="V217" s="2">
        <v>1.6575</v>
      </c>
      <c r="W217" s="2">
        <v>1.6407</v>
      </c>
      <c r="X217" s="2">
        <v>1.6252</v>
      </c>
    </row>
    <row r="218" spans="4:24" x14ac:dyDescent="0.2">
      <c r="D218" s="1">
        <v>194</v>
      </c>
      <c r="E218" s="2">
        <v>3.8898999999999999</v>
      </c>
      <c r="F218" s="2">
        <v>3.0425</v>
      </c>
      <c r="G218" s="2">
        <v>2.6511999999999998</v>
      </c>
      <c r="H218" s="2">
        <v>2.4182000000000001</v>
      </c>
      <c r="I218" s="2">
        <v>2.2606000000000002</v>
      </c>
      <c r="J218" s="2">
        <v>2.1456</v>
      </c>
      <c r="K218" s="2">
        <v>2.0569999999999999</v>
      </c>
      <c r="L218" s="2">
        <v>1.9863999999999999</v>
      </c>
      <c r="M218" s="2">
        <v>1.9283999999999999</v>
      </c>
      <c r="N218" s="2">
        <v>1.8797999999999999</v>
      </c>
      <c r="O218" s="2">
        <v>1.8383</v>
      </c>
      <c r="P218" s="2">
        <v>1.8023</v>
      </c>
      <c r="Q218" s="2">
        <v>1.7708999999999999</v>
      </c>
      <c r="R218" s="2">
        <v>1.7431000000000001</v>
      </c>
      <c r="S218" s="2">
        <v>1.7181999999999999</v>
      </c>
      <c r="T218" s="2">
        <v>1.6959</v>
      </c>
      <c r="U218" s="2">
        <v>1.6757</v>
      </c>
      <c r="V218" s="2">
        <v>1.6572</v>
      </c>
      <c r="W218" s="2">
        <v>1.6404000000000001</v>
      </c>
      <c r="X218" s="2">
        <v>1.6249</v>
      </c>
    </row>
    <row r="219" spans="4:24" x14ac:dyDescent="0.2">
      <c r="D219" s="1">
        <v>195</v>
      </c>
      <c r="E219" s="2">
        <v>3.8896000000000002</v>
      </c>
      <c r="F219" s="2">
        <v>3.0421999999999998</v>
      </c>
      <c r="G219" s="2">
        <v>2.6509</v>
      </c>
      <c r="H219" s="2">
        <v>2.4180000000000001</v>
      </c>
      <c r="I219" s="2">
        <v>2.2604000000000002</v>
      </c>
      <c r="J219" s="2">
        <v>2.1453000000000002</v>
      </c>
      <c r="K219" s="2">
        <v>2.0568</v>
      </c>
      <c r="L219" s="2">
        <v>1.9861</v>
      </c>
      <c r="M219" s="2">
        <v>1.9280999999999999</v>
      </c>
      <c r="N219" s="2">
        <v>1.8794999999999999</v>
      </c>
      <c r="O219" s="2">
        <v>1.8380000000000001</v>
      </c>
      <c r="P219" s="2">
        <v>1.8021</v>
      </c>
      <c r="Q219" s="2">
        <v>1.7706</v>
      </c>
      <c r="R219" s="2">
        <v>1.7427999999999999</v>
      </c>
      <c r="S219" s="2">
        <v>1.7179</v>
      </c>
      <c r="T219" s="2">
        <v>1.6956</v>
      </c>
      <c r="U219" s="2">
        <v>1.6754</v>
      </c>
      <c r="V219" s="2">
        <v>1.657</v>
      </c>
      <c r="W219" s="2">
        <v>1.6400999999999999</v>
      </c>
      <c r="X219" s="2">
        <v>1.6247</v>
      </c>
    </row>
    <row r="220" spans="4:24" x14ac:dyDescent="0.2">
      <c r="D220" s="1">
        <v>196</v>
      </c>
      <c r="E220" s="2">
        <v>3.8893</v>
      </c>
      <c r="F220" s="2">
        <v>3.0419999999999998</v>
      </c>
      <c r="G220" s="2">
        <v>2.6507000000000001</v>
      </c>
      <c r="H220" s="2">
        <v>2.4177</v>
      </c>
      <c r="I220" s="2">
        <v>2.2602000000000002</v>
      </c>
      <c r="J220" s="2">
        <v>2.1450999999999998</v>
      </c>
      <c r="K220" s="2">
        <v>2.0566</v>
      </c>
      <c r="L220" s="2">
        <v>1.9859</v>
      </c>
      <c r="M220" s="2">
        <v>1.9278999999999999</v>
      </c>
      <c r="N220" s="2">
        <v>1.8793</v>
      </c>
      <c r="O220" s="2">
        <v>1.8376999999999999</v>
      </c>
      <c r="P220" s="2">
        <v>1.8018000000000001</v>
      </c>
      <c r="Q220" s="2">
        <v>1.7704</v>
      </c>
      <c r="R220" s="2">
        <v>1.7424999999999999</v>
      </c>
      <c r="S220" s="2">
        <v>1.7177</v>
      </c>
      <c r="T220" s="2">
        <v>1.6953</v>
      </c>
      <c r="U220" s="2">
        <v>1.6751</v>
      </c>
      <c r="V220" s="2">
        <v>1.6567000000000001</v>
      </c>
      <c r="W220" s="2">
        <v>1.6398999999999999</v>
      </c>
      <c r="X220" s="2">
        <v>1.6244000000000001</v>
      </c>
    </row>
    <row r="221" spans="4:24" x14ac:dyDescent="0.2">
      <c r="D221" s="1">
        <v>197</v>
      </c>
      <c r="E221" s="2">
        <v>3.8891</v>
      </c>
      <c r="F221" s="2">
        <v>3.0417999999999998</v>
      </c>
      <c r="G221" s="2">
        <v>2.6503999999999999</v>
      </c>
      <c r="H221" s="2">
        <v>2.4175</v>
      </c>
      <c r="I221" s="2">
        <v>2.2599999999999998</v>
      </c>
      <c r="J221" s="2">
        <v>2.1448</v>
      </c>
      <c r="K221" s="2">
        <v>2.0562999999999998</v>
      </c>
      <c r="L221" s="2">
        <v>1.9856</v>
      </c>
      <c r="M221" s="2">
        <v>1.9277</v>
      </c>
      <c r="N221" s="2">
        <v>1.879</v>
      </c>
      <c r="O221" s="2">
        <v>1.8374999999999999</v>
      </c>
      <c r="P221" s="2">
        <v>1.8016000000000001</v>
      </c>
      <c r="Q221" s="2">
        <v>1.7701</v>
      </c>
      <c r="R221" s="2">
        <v>1.7423</v>
      </c>
      <c r="S221" s="2">
        <v>1.7174</v>
      </c>
      <c r="T221" s="2">
        <v>1.6951000000000001</v>
      </c>
      <c r="U221" s="2">
        <v>1.6748000000000001</v>
      </c>
      <c r="V221" s="2">
        <v>1.6564000000000001</v>
      </c>
      <c r="W221" s="2">
        <v>1.6395999999999999</v>
      </c>
      <c r="X221" s="2">
        <v>1.6241000000000001</v>
      </c>
    </row>
    <row r="222" spans="4:24" x14ac:dyDescent="0.2">
      <c r="D222" s="1">
        <v>198</v>
      </c>
      <c r="E222" s="2">
        <v>3.8889</v>
      </c>
      <c r="F222" s="2">
        <v>3.0415000000000001</v>
      </c>
      <c r="G222" s="2">
        <v>2.6501999999999999</v>
      </c>
      <c r="H222" s="2">
        <v>2.4173</v>
      </c>
      <c r="I222" s="2">
        <v>2.2597</v>
      </c>
      <c r="J222" s="2">
        <v>2.1446000000000001</v>
      </c>
      <c r="K222" s="2">
        <v>2.0560999999999998</v>
      </c>
      <c r="L222" s="2">
        <v>1.9854000000000001</v>
      </c>
      <c r="M222" s="2">
        <v>1.9274</v>
      </c>
      <c r="N222" s="2">
        <v>1.8788</v>
      </c>
      <c r="O222" s="2">
        <v>1.8372999999999999</v>
      </c>
      <c r="P222" s="2">
        <v>1.8012999999999999</v>
      </c>
      <c r="Q222" s="2">
        <v>1.7699</v>
      </c>
      <c r="R222" s="2">
        <v>1.742</v>
      </c>
      <c r="S222" s="2">
        <v>1.7172000000000001</v>
      </c>
      <c r="T222" s="2">
        <v>1.6948000000000001</v>
      </c>
      <c r="U222" s="2">
        <v>1.6746000000000001</v>
      </c>
      <c r="V222" s="2">
        <v>1.6561999999999999</v>
      </c>
      <c r="W222" s="2">
        <v>1.6393</v>
      </c>
      <c r="X222" s="2">
        <v>1.6237999999999999</v>
      </c>
    </row>
    <row r="223" spans="4:24" x14ac:dyDescent="0.2">
      <c r="D223" s="1">
        <v>199</v>
      </c>
      <c r="E223" s="2">
        <v>3.8885999999999998</v>
      </c>
      <c r="F223" s="2">
        <v>3.0413000000000001</v>
      </c>
      <c r="G223" s="2">
        <v>2.65</v>
      </c>
      <c r="H223" s="2">
        <v>2.4169999999999998</v>
      </c>
      <c r="I223" s="2">
        <v>2.2595000000000001</v>
      </c>
      <c r="J223" s="2">
        <v>2.1444000000000001</v>
      </c>
      <c r="K223" s="2">
        <v>2.0558000000000001</v>
      </c>
      <c r="L223" s="2">
        <v>1.9852000000000001</v>
      </c>
      <c r="M223" s="2">
        <v>1.9272</v>
      </c>
      <c r="N223" s="2">
        <v>1.8785000000000001</v>
      </c>
      <c r="O223" s="2">
        <v>1.837</v>
      </c>
      <c r="P223" s="2">
        <v>1.8010999999999999</v>
      </c>
      <c r="Q223" s="2">
        <v>1.7696000000000001</v>
      </c>
      <c r="R223" s="2">
        <v>1.7418</v>
      </c>
      <c r="S223" s="2">
        <v>1.7169000000000001</v>
      </c>
      <c r="T223" s="2">
        <v>1.6946000000000001</v>
      </c>
      <c r="U223" s="2">
        <v>1.6742999999999999</v>
      </c>
      <c r="V223" s="2">
        <v>1.6558999999999999</v>
      </c>
      <c r="W223" s="2">
        <v>1.6391</v>
      </c>
      <c r="X223" s="2">
        <v>1.6235999999999999</v>
      </c>
    </row>
    <row r="224" spans="4:24" x14ac:dyDescent="0.2">
      <c r="D224" s="1">
        <v>200</v>
      </c>
      <c r="E224" s="2">
        <v>3.8883000000000001</v>
      </c>
      <c r="F224" s="2">
        <v>3.0409999999999999</v>
      </c>
      <c r="G224" s="2">
        <v>2.6497000000000002</v>
      </c>
      <c r="H224" s="2">
        <v>2.4167999999999998</v>
      </c>
      <c r="I224" s="2">
        <v>2.2591999999999999</v>
      </c>
      <c r="J224" s="2">
        <v>2.1440999999999999</v>
      </c>
      <c r="K224" s="2">
        <v>2.0556000000000001</v>
      </c>
      <c r="L224" s="2">
        <v>1.9849000000000001</v>
      </c>
      <c r="M224" s="2">
        <v>1.9269000000000001</v>
      </c>
      <c r="N224" s="2">
        <v>1.8783000000000001</v>
      </c>
      <c r="O224" s="2">
        <v>1.8368</v>
      </c>
      <c r="P224" s="2">
        <v>1.8008</v>
      </c>
      <c r="Q224" s="2">
        <v>1.7694000000000001</v>
      </c>
      <c r="R224" s="2">
        <v>1.7415</v>
      </c>
      <c r="S224" s="2">
        <v>1.7165999999999999</v>
      </c>
      <c r="T224" s="2">
        <v>1.6942999999999999</v>
      </c>
      <c r="U224" s="2">
        <v>1.6740999999999999</v>
      </c>
      <c r="V224" s="2">
        <v>1.6556999999999999</v>
      </c>
      <c r="W224" s="2">
        <v>1.6388</v>
      </c>
      <c r="X224" s="2">
        <v>1.6233</v>
      </c>
    </row>
    <row r="225" spans="4:24" x14ac:dyDescent="0.2">
      <c r="D225" s="1" t="s">
        <v>10</v>
      </c>
      <c r="E225" s="1">
        <v>1</v>
      </c>
      <c r="F225" s="1">
        <v>2</v>
      </c>
      <c r="G225" s="1">
        <v>3</v>
      </c>
      <c r="H225" s="1">
        <v>4</v>
      </c>
      <c r="I225" s="1">
        <v>5</v>
      </c>
      <c r="J225" s="1">
        <v>6</v>
      </c>
      <c r="K225" s="1">
        <v>7</v>
      </c>
      <c r="L225" s="1">
        <v>8</v>
      </c>
      <c r="M225" s="1">
        <v>9</v>
      </c>
      <c r="N225" s="1">
        <v>10</v>
      </c>
      <c r="O225" s="1">
        <v>11</v>
      </c>
      <c r="P225" s="1">
        <v>12</v>
      </c>
      <c r="Q225" s="1">
        <v>13</v>
      </c>
      <c r="R225" s="1">
        <v>14</v>
      </c>
      <c r="S225" s="1">
        <v>15</v>
      </c>
      <c r="T225" s="1">
        <v>16</v>
      </c>
      <c r="U225" s="1">
        <v>17</v>
      </c>
      <c r="V225" s="1">
        <v>18</v>
      </c>
      <c r="W225" s="1">
        <v>19</v>
      </c>
      <c r="X225" s="1">
        <v>20</v>
      </c>
    </row>
    <row r="226" spans="4:24" x14ac:dyDescent="0.2">
      <c r="D226" s="1" t="s">
        <v>11</v>
      </c>
      <c r="E226" s="1" t="s">
        <v>12</v>
      </c>
      <c r="F226" s="1"/>
      <c r="G226" s="1"/>
      <c r="H226" s="1"/>
      <c r="I226" s="1"/>
      <c r="J226" s="1"/>
      <c r="K226" s="1"/>
      <c r="L226" s="1"/>
      <c r="M226" s="1"/>
      <c r="N226" s="1"/>
      <c r="O226" s="3"/>
      <c r="P226" s="3"/>
      <c r="Q226" s="3"/>
      <c r="R226" s="3"/>
      <c r="S226" s="3"/>
      <c r="T226" s="3"/>
      <c r="U226" s="3"/>
      <c r="V226" s="3"/>
      <c r="W226" s="3"/>
      <c r="X226" s="4"/>
    </row>
  </sheetData>
  <customSheetViews>
    <customSheetView guid="{373B6099-BBFB-4C6F-8508-763C02BEB895}">
      <selection activeCell="C26" sqref="C26"/>
      <pageMargins left="0.7" right="0.7" top="0.75" bottom="0.75" header="0.3" footer="0.3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Entry page</vt:lpstr>
      <vt:lpstr>QC thin lift</vt:lpstr>
      <vt:lpstr>QA thin lift</vt:lpstr>
      <vt:lpstr>2</vt:lpstr>
      <vt:lpstr>Sheet2</vt:lpstr>
      <vt:lpstr>'Entry page'!Print_Area</vt:lpstr>
    </vt:vector>
  </TitlesOfParts>
  <Company>Stantec Global Technologies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gboorboor</dc:creator>
  <cp:lastModifiedBy>Jimmy Floyd</cp:lastModifiedBy>
  <cp:lastPrinted>2017-08-17T16:24:32Z</cp:lastPrinted>
  <dcterms:created xsi:type="dcterms:W3CDTF">2002-03-11T17:53:17Z</dcterms:created>
  <dcterms:modified xsi:type="dcterms:W3CDTF">2018-08-13T20:41:22Z</dcterms:modified>
</cp:coreProperties>
</file>